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hidePivotFieldList="1" defaultThemeVersion="166925"/>
  <mc:AlternateContent xmlns:mc="http://schemas.openxmlformats.org/markup-compatibility/2006">
    <mc:Choice Requires="x15">
      <x15ac:absPath xmlns:x15ac="http://schemas.microsoft.com/office/spreadsheetml/2010/11/ac" url="C:\Users\Thomas\Desktop\"/>
    </mc:Choice>
  </mc:AlternateContent>
  <xr:revisionPtr revIDLastSave="0" documentId="8_{3CE50B1E-2333-484C-90DA-3C0DE5759A07}" xr6:coauthVersionLast="45" xr6:coauthVersionMax="45" xr10:uidLastSave="{00000000-0000-0000-0000-000000000000}"/>
  <bookViews>
    <workbookView xWindow="-108" yWindow="-108" windowWidth="23256" windowHeight="12576" firstSheet="4" activeTab="4" xr2:uid="{AC475030-3B30-4598-B009-19AD78368629}"/>
  </bookViews>
  <sheets>
    <sheet name="Introduction to WorkBook" sheetId="33" r:id="rId1"/>
    <sheet name="Pivot Table Renewables" sheetId="30" r:id="rId2"/>
    <sheet name="Pivot Table Dispatchable" sheetId="31" r:id="rId3"/>
    <sheet name="Peak Load Direct Nat Gas" sheetId="17" r:id="rId4"/>
    <sheet name="Cost of Emission Reductions" sheetId="22" r:id="rId5"/>
    <sheet name="Cost Data" sheetId="11" r:id="rId6"/>
    <sheet name="emissions" sheetId="18" r:id="rId7"/>
    <sheet name="Per Capita Estimates" sheetId="39" r:id="rId8"/>
    <sheet name="Master Summary Renewables" sheetId="1" r:id="rId9"/>
    <sheet name="Rounded Renewables" sheetId="27" r:id="rId10"/>
    <sheet name="Master Summary Dispatchable" sheetId="15" r:id="rId11"/>
    <sheet name="Rounded Dispatchable" sheetId="28" r:id="rId12"/>
    <sheet name="Electricity Energy" sheetId="2" r:id="rId13"/>
    <sheet name="Electric Explainer" sheetId="34" r:id="rId14"/>
    <sheet name="Transportation" sheetId="3" r:id="rId15"/>
    <sheet name="Transportation Explainer" sheetId="35" r:id="rId16"/>
    <sheet name="Direct Use Apps. ENERGY" sheetId="4" r:id="rId17"/>
    <sheet name="Natural Gas Explainer" sheetId="36" r:id="rId18"/>
    <sheet name="Direct Use Apps Household" sheetId="6" r:id="rId19"/>
    <sheet name="Commercial buildings Direct Use" sheetId="10" r:id="rId20"/>
    <sheet name="on road vehicles" sheetId="7" r:id="rId21"/>
    <sheet name="On Road Explainer" sheetId="38" r:id="rId22"/>
    <sheet name="OffRoad" sheetId="8" r:id="rId23"/>
    <sheet name="OffRoad Explainer" sheetId="37" r:id="rId24"/>
    <sheet name="percent of gdp" sheetId="23" r:id="rId25"/>
  </sheets>
  <definedNames>
    <definedName name="_ftn1" localSheetId="13">'Electric Explainer'!$B$21</definedName>
    <definedName name="_ftn2" localSheetId="13">'Electric Explainer'!$B$22</definedName>
    <definedName name="_ftn3" localSheetId="13">'Electric Explainer'!$B$23</definedName>
    <definedName name="_ftn4" localSheetId="13">'Electric Explainer'!$B$24</definedName>
    <definedName name="_ftnref1" localSheetId="17">'Natural Gas Explainer'!$B$20</definedName>
    <definedName name="_ftnref2" localSheetId="17">'Natural Gas Explainer'!$B$22</definedName>
    <definedName name="_ftnref3" localSheetId="13">'Electric Explainer'!$B$11</definedName>
    <definedName name="_ftnref4" localSheetId="13">'Electric Explainer'!$B$15</definedName>
    <definedName name="_Hlk27392399" localSheetId="15">'Transportation Explainer'!$B$3</definedName>
    <definedName name="_Toc29453474" localSheetId="13">'Electric Explainer'!$B$2</definedName>
    <definedName name="_xlcn.WorksheetConnection_MasterSummaryDispatchableC4H54" hidden="1">'Master Summary Dispatchable'!$C$4:$H$54</definedName>
  </definedNames>
  <calcPr calcId="191029" iterateDelta="9.9999999999994451E-4"/>
  <pivotCaches>
    <pivotCache cacheId="0" r:id="rId26"/>
    <pivotCache cacheId="1" r:id="rId27"/>
    <pivotCache cacheId="2" r:id="rId2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Master Summary Dispatchable!$C$4:$H$54"/>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5" i="18" l="1"/>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8" i="18"/>
  <c r="M7" i="18"/>
  <c r="M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7" i="18"/>
  <c r="K6" i="18"/>
  <c r="J55" i="18" l="1"/>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I53" i="39" l="1"/>
  <c r="I52" i="39"/>
  <c r="I51" i="39"/>
  <c r="I50" i="39"/>
  <c r="I49" i="39"/>
  <c r="I48" i="39"/>
  <c r="I47" i="39"/>
  <c r="I46" i="39"/>
  <c r="I45" i="39"/>
  <c r="I44" i="39"/>
  <c r="I43" i="39"/>
  <c r="I42" i="39"/>
  <c r="I41" i="39"/>
  <c r="I40" i="39"/>
  <c r="I39" i="39"/>
  <c r="I38" i="39"/>
  <c r="I37" i="39"/>
  <c r="I36" i="39"/>
  <c r="I35" i="39"/>
  <c r="I34" i="39"/>
  <c r="I33" i="39"/>
  <c r="I32" i="39"/>
  <c r="I31" i="39"/>
  <c r="I30" i="39"/>
  <c r="I29" i="39"/>
  <c r="I28" i="39"/>
  <c r="I27" i="39"/>
  <c r="I26" i="39"/>
  <c r="I25" i="39"/>
  <c r="I24" i="39"/>
  <c r="I23" i="39"/>
  <c r="I22" i="39"/>
  <c r="I21" i="39"/>
  <c r="I20" i="39"/>
  <c r="I19" i="39"/>
  <c r="I18" i="39"/>
  <c r="I17" i="39"/>
  <c r="I16" i="39"/>
  <c r="I15" i="39"/>
  <c r="I14" i="39"/>
  <c r="I13" i="39"/>
  <c r="I12" i="39"/>
  <c r="I11" i="39"/>
  <c r="I10" i="39"/>
  <c r="I9" i="39"/>
  <c r="I8" i="39"/>
  <c r="I7" i="39"/>
  <c r="I6" i="39"/>
  <c r="I5" i="39"/>
  <c r="I4" i="39"/>
  <c r="I3"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H8" i="39"/>
  <c r="H7" i="39"/>
  <c r="H6" i="39"/>
  <c r="H5" i="39"/>
  <c r="H4" i="39"/>
  <c r="H3"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G4" i="39"/>
  <c r="G3" i="39"/>
  <c r="D55" i="8" l="1"/>
  <c r="G54" i="23"/>
  <c r="C54" i="8" s="1"/>
  <c r="D54" i="8" s="1"/>
  <c r="E54" i="8" s="1"/>
  <c r="F54" i="8" s="1"/>
  <c r="G53" i="23"/>
  <c r="C53" i="8" s="1"/>
  <c r="D53" i="8" s="1"/>
  <c r="E53" i="8" s="1"/>
  <c r="F53" i="8" s="1"/>
  <c r="G52" i="23"/>
  <c r="C52" i="8" s="1"/>
  <c r="D52" i="8" s="1"/>
  <c r="E52" i="8" s="1"/>
  <c r="F52" i="8" s="1"/>
  <c r="G51" i="23"/>
  <c r="C51" i="8" s="1"/>
  <c r="D51" i="8" s="1"/>
  <c r="E51" i="8" s="1"/>
  <c r="F51" i="8" s="1"/>
  <c r="G50" i="23"/>
  <c r="C50" i="8" s="1"/>
  <c r="D50" i="8" s="1"/>
  <c r="E50" i="8" s="1"/>
  <c r="F50" i="8" s="1"/>
  <c r="G49" i="23"/>
  <c r="C49" i="8" s="1"/>
  <c r="D49" i="8" s="1"/>
  <c r="E49" i="8" s="1"/>
  <c r="F49" i="8" s="1"/>
  <c r="G48" i="23"/>
  <c r="C48" i="8" s="1"/>
  <c r="D48" i="8" s="1"/>
  <c r="E48" i="8" s="1"/>
  <c r="F48" i="8" s="1"/>
  <c r="G47" i="23"/>
  <c r="C47" i="8" s="1"/>
  <c r="D47" i="8" s="1"/>
  <c r="E47" i="8" s="1"/>
  <c r="F47" i="8" s="1"/>
  <c r="G46" i="23"/>
  <c r="C46" i="8" s="1"/>
  <c r="D46" i="8" s="1"/>
  <c r="E46" i="8" s="1"/>
  <c r="F46" i="8" s="1"/>
  <c r="G45" i="23"/>
  <c r="C45" i="8" s="1"/>
  <c r="D45" i="8" s="1"/>
  <c r="E45" i="8" s="1"/>
  <c r="F45" i="8" s="1"/>
  <c r="G44" i="23"/>
  <c r="C44" i="8" s="1"/>
  <c r="D44" i="8" s="1"/>
  <c r="E44" i="8" s="1"/>
  <c r="F44" i="8" s="1"/>
  <c r="G43" i="23"/>
  <c r="C43" i="8" s="1"/>
  <c r="D43" i="8" s="1"/>
  <c r="E43" i="8" s="1"/>
  <c r="F43" i="8" s="1"/>
  <c r="G42" i="23"/>
  <c r="C42" i="8" s="1"/>
  <c r="D42" i="8" s="1"/>
  <c r="E42" i="8" s="1"/>
  <c r="F42" i="8" s="1"/>
  <c r="G41" i="23"/>
  <c r="C41" i="8" s="1"/>
  <c r="D41" i="8" s="1"/>
  <c r="E41" i="8" s="1"/>
  <c r="F41" i="8" s="1"/>
  <c r="G40" i="23"/>
  <c r="C40" i="8" s="1"/>
  <c r="D40" i="8" s="1"/>
  <c r="E40" i="8" s="1"/>
  <c r="F40" i="8" s="1"/>
  <c r="G39" i="23"/>
  <c r="C39" i="8" s="1"/>
  <c r="D39" i="8" s="1"/>
  <c r="E39" i="8" s="1"/>
  <c r="F39" i="8" s="1"/>
  <c r="G38" i="23"/>
  <c r="C38" i="8" s="1"/>
  <c r="D38" i="8" s="1"/>
  <c r="E38" i="8" s="1"/>
  <c r="F38" i="8" s="1"/>
  <c r="G37" i="23"/>
  <c r="C37" i="8" s="1"/>
  <c r="D37" i="8" s="1"/>
  <c r="E37" i="8" s="1"/>
  <c r="F37" i="8" s="1"/>
  <c r="G36" i="23"/>
  <c r="C36" i="8" s="1"/>
  <c r="D36" i="8" s="1"/>
  <c r="E36" i="8" s="1"/>
  <c r="F36" i="8" s="1"/>
  <c r="G35" i="23"/>
  <c r="C35" i="8" s="1"/>
  <c r="D35" i="8" s="1"/>
  <c r="E35" i="8" s="1"/>
  <c r="F35" i="8" s="1"/>
  <c r="G34" i="23"/>
  <c r="C34" i="8" s="1"/>
  <c r="D34" i="8" s="1"/>
  <c r="E34" i="8" s="1"/>
  <c r="F34" i="8" s="1"/>
  <c r="G33" i="23"/>
  <c r="C33" i="8" s="1"/>
  <c r="D33" i="8" s="1"/>
  <c r="E33" i="8" s="1"/>
  <c r="F33" i="8" s="1"/>
  <c r="G32" i="23"/>
  <c r="C32" i="8" s="1"/>
  <c r="D32" i="8" s="1"/>
  <c r="E32" i="8" s="1"/>
  <c r="F32" i="8" s="1"/>
  <c r="G31" i="23"/>
  <c r="C31" i="8" s="1"/>
  <c r="D31" i="8" s="1"/>
  <c r="E31" i="8" s="1"/>
  <c r="F31" i="8" s="1"/>
  <c r="G30" i="23"/>
  <c r="C30" i="8" s="1"/>
  <c r="D30" i="8" s="1"/>
  <c r="E30" i="8" s="1"/>
  <c r="F30" i="8" s="1"/>
  <c r="G29" i="23"/>
  <c r="C29" i="8" s="1"/>
  <c r="D29" i="8" s="1"/>
  <c r="E29" i="8" s="1"/>
  <c r="F29" i="8" s="1"/>
  <c r="G28" i="23"/>
  <c r="C28" i="8" s="1"/>
  <c r="D28" i="8" s="1"/>
  <c r="E28" i="8" s="1"/>
  <c r="F28" i="8" s="1"/>
  <c r="G27" i="23"/>
  <c r="C27" i="8" s="1"/>
  <c r="D27" i="8" s="1"/>
  <c r="E27" i="8" s="1"/>
  <c r="F27" i="8" s="1"/>
  <c r="G26" i="23"/>
  <c r="C26" i="8" s="1"/>
  <c r="D26" i="8" s="1"/>
  <c r="E26" i="8" s="1"/>
  <c r="F26" i="8" s="1"/>
  <c r="G25" i="23"/>
  <c r="C25" i="8" s="1"/>
  <c r="D25" i="8" s="1"/>
  <c r="E25" i="8" s="1"/>
  <c r="F25" i="8" s="1"/>
  <c r="G24" i="23"/>
  <c r="C24" i="8" s="1"/>
  <c r="D24" i="8" s="1"/>
  <c r="E24" i="8" s="1"/>
  <c r="F24" i="8" s="1"/>
  <c r="G23" i="23"/>
  <c r="C23" i="8" s="1"/>
  <c r="D23" i="8" s="1"/>
  <c r="E23" i="8" s="1"/>
  <c r="F23" i="8" s="1"/>
  <c r="G22" i="23"/>
  <c r="C22" i="8" s="1"/>
  <c r="D22" i="8" s="1"/>
  <c r="E22" i="8" s="1"/>
  <c r="F22" i="8" s="1"/>
  <c r="G21" i="23"/>
  <c r="C21" i="8" s="1"/>
  <c r="D21" i="8" s="1"/>
  <c r="E21" i="8" s="1"/>
  <c r="F21" i="8" s="1"/>
  <c r="G20" i="23"/>
  <c r="C20" i="8" s="1"/>
  <c r="D20" i="8" s="1"/>
  <c r="E20" i="8" s="1"/>
  <c r="F20" i="8" s="1"/>
  <c r="G19" i="23"/>
  <c r="C19" i="8" s="1"/>
  <c r="D19" i="8" s="1"/>
  <c r="E19" i="8" s="1"/>
  <c r="F19" i="8" s="1"/>
  <c r="G18" i="23"/>
  <c r="C18" i="8" s="1"/>
  <c r="D18" i="8" s="1"/>
  <c r="E18" i="8" s="1"/>
  <c r="F18" i="8" s="1"/>
  <c r="G17" i="23"/>
  <c r="C17" i="8" s="1"/>
  <c r="D17" i="8" s="1"/>
  <c r="E17" i="8" s="1"/>
  <c r="F17" i="8" s="1"/>
  <c r="G16" i="23"/>
  <c r="C16" i="8" s="1"/>
  <c r="D16" i="8" s="1"/>
  <c r="E16" i="8" s="1"/>
  <c r="F16" i="8" s="1"/>
  <c r="G15" i="23"/>
  <c r="C15" i="8" s="1"/>
  <c r="D15" i="8" s="1"/>
  <c r="E15" i="8" s="1"/>
  <c r="F15" i="8" s="1"/>
  <c r="G14" i="23"/>
  <c r="C14" i="8" s="1"/>
  <c r="D14" i="8" s="1"/>
  <c r="E14" i="8" s="1"/>
  <c r="F14" i="8" s="1"/>
  <c r="G13" i="23"/>
  <c r="C13" i="8" s="1"/>
  <c r="D13" i="8" s="1"/>
  <c r="E13" i="8" s="1"/>
  <c r="F13" i="8" s="1"/>
  <c r="G12" i="23"/>
  <c r="C12" i="8" s="1"/>
  <c r="D12" i="8" s="1"/>
  <c r="E12" i="8" s="1"/>
  <c r="F12" i="8" s="1"/>
  <c r="G11" i="23"/>
  <c r="C11" i="8" s="1"/>
  <c r="D11" i="8" s="1"/>
  <c r="E11" i="8" s="1"/>
  <c r="F11" i="8" s="1"/>
  <c r="G10" i="23"/>
  <c r="C10" i="8" s="1"/>
  <c r="D10" i="8" s="1"/>
  <c r="E10" i="8" s="1"/>
  <c r="F10" i="8" s="1"/>
  <c r="G9" i="23"/>
  <c r="C9" i="8" s="1"/>
  <c r="D9" i="8" s="1"/>
  <c r="E9" i="8" s="1"/>
  <c r="F9" i="8" s="1"/>
  <c r="G8" i="23"/>
  <c r="C8" i="8" s="1"/>
  <c r="D8" i="8" s="1"/>
  <c r="E8" i="8" s="1"/>
  <c r="F8" i="8" s="1"/>
  <c r="G7" i="23"/>
  <c r="C7" i="8" s="1"/>
  <c r="D7" i="8" s="1"/>
  <c r="E7" i="8" s="1"/>
  <c r="F7" i="8" s="1"/>
  <c r="G6" i="23"/>
  <c r="C6" i="8" s="1"/>
  <c r="D6" i="8" s="1"/>
  <c r="E6" i="8" s="1"/>
  <c r="F6" i="8" s="1"/>
  <c r="G5" i="23"/>
  <c r="C5" i="8" s="1"/>
  <c r="D5" i="8" s="1"/>
  <c r="E5" i="8" s="1"/>
  <c r="F5" i="8" s="1"/>
  <c r="E55" i="23"/>
  <c r="G7" i="8" l="1"/>
  <c r="I7" i="1" s="1"/>
  <c r="I7" i="27" s="1"/>
  <c r="G15" i="8"/>
  <c r="I15" i="1" s="1"/>
  <c r="I15" i="27" s="1"/>
  <c r="G19" i="8"/>
  <c r="I19" i="1" s="1"/>
  <c r="I19" i="27" s="1"/>
  <c r="G23" i="8"/>
  <c r="I23" i="1" s="1"/>
  <c r="I23" i="27" s="1"/>
  <c r="G27" i="8"/>
  <c r="I27" i="1" s="1"/>
  <c r="I27" i="27" s="1"/>
  <c r="G31" i="8"/>
  <c r="I31" i="1" s="1"/>
  <c r="I31" i="27" s="1"/>
  <c r="G35" i="8"/>
  <c r="I35" i="1" s="1"/>
  <c r="I35" i="27" s="1"/>
  <c r="G39" i="8"/>
  <c r="I39" i="1" s="1"/>
  <c r="I39" i="27" s="1"/>
  <c r="G43" i="8"/>
  <c r="I43" i="1" s="1"/>
  <c r="I43" i="27" s="1"/>
  <c r="G47" i="8"/>
  <c r="I47" i="1" s="1"/>
  <c r="I47" i="27" s="1"/>
  <c r="G51" i="8"/>
  <c r="I51" i="1" s="1"/>
  <c r="I51" i="27" s="1"/>
  <c r="G45" i="8"/>
  <c r="I45" i="1" s="1"/>
  <c r="I45" i="27" s="1"/>
  <c r="G13" i="8"/>
  <c r="I13" i="1" s="1"/>
  <c r="I13" i="27" s="1"/>
  <c r="G29" i="8"/>
  <c r="I29" i="1" s="1"/>
  <c r="I29" i="27" s="1"/>
  <c r="G8" i="8"/>
  <c r="I8" i="1" s="1"/>
  <c r="I8" i="27" s="1"/>
  <c r="G16" i="8"/>
  <c r="I16" i="1" s="1"/>
  <c r="I16" i="27" s="1"/>
  <c r="G24" i="8"/>
  <c r="I24" i="1" s="1"/>
  <c r="I24" i="27" s="1"/>
  <c r="G32" i="8"/>
  <c r="I32" i="1" s="1"/>
  <c r="I32" i="27" s="1"/>
  <c r="G40" i="8"/>
  <c r="I40" i="1" s="1"/>
  <c r="I40" i="27" s="1"/>
  <c r="G48" i="8"/>
  <c r="I48" i="1" s="1"/>
  <c r="I48" i="27" s="1"/>
  <c r="G17" i="8"/>
  <c r="I17" i="1" s="1"/>
  <c r="I17" i="27" s="1"/>
  <c r="G33" i="8"/>
  <c r="I33" i="1" s="1"/>
  <c r="I33" i="27" s="1"/>
  <c r="G41" i="8"/>
  <c r="I41" i="1" s="1"/>
  <c r="I41" i="27" s="1"/>
  <c r="G49" i="8"/>
  <c r="I49" i="1" s="1"/>
  <c r="I49" i="27" s="1"/>
  <c r="G5" i="8"/>
  <c r="G21" i="8"/>
  <c r="I21" i="1" s="1"/>
  <c r="I21" i="27" s="1"/>
  <c r="G37" i="8"/>
  <c r="I37" i="1" s="1"/>
  <c r="I37" i="27" s="1"/>
  <c r="G11" i="8"/>
  <c r="I11" i="1" s="1"/>
  <c r="I11" i="27" s="1"/>
  <c r="G6" i="8"/>
  <c r="I6" i="1" s="1"/>
  <c r="I6" i="27" s="1"/>
  <c r="G10" i="8"/>
  <c r="I10" i="1" s="1"/>
  <c r="I10" i="27" s="1"/>
  <c r="G14" i="8"/>
  <c r="I14" i="1" s="1"/>
  <c r="I14" i="27" s="1"/>
  <c r="G18" i="8"/>
  <c r="I18" i="1" s="1"/>
  <c r="I18" i="27" s="1"/>
  <c r="G22" i="8"/>
  <c r="I22" i="1" s="1"/>
  <c r="I22" i="27" s="1"/>
  <c r="G26" i="8"/>
  <c r="I26" i="1" s="1"/>
  <c r="I26" i="27" s="1"/>
  <c r="G30" i="8"/>
  <c r="I30" i="1" s="1"/>
  <c r="I30" i="27" s="1"/>
  <c r="G34" i="8"/>
  <c r="I34" i="1" s="1"/>
  <c r="I34" i="27" s="1"/>
  <c r="G38" i="8"/>
  <c r="I38" i="1" s="1"/>
  <c r="I38" i="27" s="1"/>
  <c r="G42" i="8"/>
  <c r="I42" i="1" s="1"/>
  <c r="I42" i="27" s="1"/>
  <c r="G46" i="8"/>
  <c r="I46" i="1" s="1"/>
  <c r="I46" i="27" s="1"/>
  <c r="G50" i="8"/>
  <c r="I50" i="1" s="1"/>
  <c r="I50" i="27" s="1"/>
  <c r="G54" i="8"/>
  <c r="I54" i="1" s="1"/>
  <c r="I54" i="27" s="1"/>
  <c r="G12" i="8"/>
  <c r="I12" i="1" s="1"/>
  <c r="I12" i="27" s="1"/>
  <c r="G20" i="8"/>
  <c r="I20" i="1" s="1"/>
  <c r="I20" i="27" s="1"/>
  <c r="G28" i="8"/>
  <c r="I28" i="1" s="1"/>
  <c r="I28" i="27" s="1"/>
  <c r="G36" i="8"/>
  <c r="I36" i="1" s="1"/>
  <c r="I36" i="27" s="1"/>
  <c r="G44" i="8"/>
  <c r="I44" i="1" s="1"/>
  <c r="I44" i="27" s="1"/>
  <c r="G52" i="8"/>
  <c r="I52" i="1" s="1"/>
  <c r="I52" i="27" s="1"/>
  <c r="G9" i="8"/>
  <c r="I9" i="1" s="1"/>
  <c r="I9" i="27" s="1"/>
  <c r="G25" i="8"/>
  <c r="I25" i="1" s="1"/>
  <c r="I25" i="27" s="1"/>
  <c r="G53" i="8"/>
  <c r="I53" i="1" s="1"/>
  <c r="I53" i="27" s="1"/>
  <c r="F10" i="17"/>
  <c r="G55" i="8" l="1"/>
  <c r="I5" i="1"/>
  <c r="O13" i="1"/>
  <c r="N13" i="1"/>
  <c r="M13" i="1"/>
  <c r="I5" i="27" l="1"/>
  <c r="I55" i="27" s="1"/>
  <c r="I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2" i="1"/>
  <c r="O11" i="1"/>
  <c r="O10" i="1"/>
  <c r="O9" i="1"/>
  <c r="O8" i="1"/>
  <c r="O7" i="1"/>
  <c r="O6" i="1"/>
  <c r="O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2" i="1"/>
  <c r="N11" i="1"/>
  <c r="N10" i="1"/>
  <c r="N9" i="1"/>
  <c r="N8" i="1"/>
  <c r="N7" i="1"/>
  <c r="N6" i="1"/>
  <c r="N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0" i="1"/>
  <c r="M9" i="1"/>
  <c r="M8" i="1"/>
  <c r="M7" i="1"/>
  <c r="M6" i="1"/>
  <c r="M5" i="1"/>
  <c r="O55" i="1" l="1"/>
  <c r="N55" i="1"/>
  <c r="M55" i="1"/>
  <c r="C7" i="11"/>
  <c r="H7" i="8" l="1"/>
  <c r="I7" i="15" s="1"/>
  <c r="I7" i="28" s="1"/>
  <c r="H19" i="8"/>
  <c r="I19" i="15" s="1"/>
  <c r="I19" i="28" s="1"/>
  <c r="H27" i="8"/>
  <c r="I27" i="15" s="1"/>
  <c r="I27" i="28" s="1"/>
  <c r="H35" i="8"/>
  <c r="I35" i="15" s="1"/>
  <c r="I35" i="28" s="1"/>
  <c r="H43" i="8"/>
  <c r="I43" i="15" s="1"/>
  <c r="I43" i="28" s="1"/>
  <c r="H51" i="8"/>
  <c r="I51" i="15" s="1"/>
  <c r="I51" i="28" s="1"/>
  <c r="H6" i="8"/>
  <c r="I6" i="15" s="1"/>
  <c r="I6" i="28" s="1"/>
  <c r="H14" i="8"/>
  <c r="I14" i="15" s="1"/>
  <c r="I14" i="28" s="1"/>
  <c r="H22" i="8"/>
  <c r="I22" i="15" s="1"/>
  <c r="I22" i="28" s="1"/>
  <c r="H30" i="8"/>
  <c r="I30" i="15" s="1"/>
  <c r="I30" i="28" s="1"/>
  <c r="H38" i="8"/>
  <c r="I38" i="15" s="1"/>
  <c r="I38" i="28" s="1"/>
  <c r="H46" i="8"/>
  <c r="I46" i="15" s="1"/>
  <c r="I46" i="28" s="1"/>
  <c r="H54" i="8"/>
  <c r="I54" i="15" s="1"/>
  <c r="I54" i="28" s="1"/>
  <c r="H25" i="8"/>
  <c r="I25" i="15" s="1"/>
  <c r="I25" i="28" s="1"/>
  <c r="H23" i="8"/>
  <c r="I23" i="15" s="1"/>
  <c r="I23" i="28" s="1"/>
  <c r="H10" i="8"/>
  <c r="I10" i="15" s="1"/>
  <c r="I10" i="28" s="1"/>
  <c r="H34" i="8"/>
  <c r="I34" i="15" s="1"/>
  <c r="I34" i="28" s="1"/>
  <c r="H50" i="8"/>
  <c r="I50" i="15" s="1"/>
  <c r="I50" i="28" s="1"/>
  <c r="H16" i="8"/>
  <c r="I16" i="15" s="1"/>
  <c r="I16" i="28" s="1"/>
  <c r="H33" i="8"/>
  <c r="I33" i="15" s="1"/>
  <c r="I33" i="28" s="1"/>
  <c r="H21" i="8"/>
  <c r="I21" i="15" s="1"/>
  <c r="I21" i="28" s="1"/>
  <c r="H12" i="8"/>
  <c r="I12" i="15" s="1"/>
  <c r="I12" i="28" s="1"/>
  <c r="H28" i="8"/>
  <c r="I28" i="15" s="1"/>
  <c r="I28" i="28" s="1"/>
  <c r="H44" i="8"/>
  <c r="I44" i="15" s="1"/>
  <c r="I44" i="28" s="1"/>
  <c r="H9" i="8"/>
  <c r="I9" i="15" s="1"/>
  <c r="I9" i="28" s="1"/>
  <c r="H53" i="8"/>
  <c r="I53" i="15" s="1"/>
  <c r="I53" i="28" s="1"/>
  <c r="H13" i="8"/>
  <c r="I13" i="15" s="1"/>
  <c r="I13" i="28" s="1"/>
  <c r="H8" i="8"/>
  <c r="I8" i="15" s="1"/>
  <c r="I8" i="28" s="1"/>
  <c r="H24" i="8"/>
  <c r="I24" i="15" s="1"/>
  <c r="I24" i="28" s="1"/>
  <c r="H40" i="8"/>
  <c r="I40" i="15" s="1"/>
  <c r="I40" i="28" s="1"/>
  <c r="H17" i="8"/>
  <c r="I17" i="15" s="1"/>
  <c r="I17" i="28" s="1"/>
  <c r="H41" i="8"/>
  <c r="I41" i="15" s="1"/>
  <c r="I41" i="28" s="1"/>
  <c r="H5" i="8"/>
  <c r="H37" i="8"/>
  <c r="I37" i="15" s="1"/>
  <c r="I37" i="28" s="1"/>
  <c r="H20" i="8"/>
  <c r="I20" i="15" s="1"/>
  <c r="I20" i="28" s="1"/>
  <c r="H36" i="8"/>
  <c r="I36" i="15" s="1"/>
  <c r="I36" i="28" s="1"/>
  <c r="H52" i="8"/>
  <c r="I52" i="15" s="1"/>
  <c r="I52" i="28" s="1"/>
  <c r="H15" i="8"/>
  <c r="I15" i="15" s="1"/>
  <c r="I15" i="28" s="1"/>
  <c r="H31" i="8"/>
  <c r="I31" i="15" s="1"/>
  <c r="I31" i="28" s="1"/>
  <c r="H39" i="8"/>
  <c r="I39" i="15" s="1"/>
  <c r="I39" i="28" s="1"/>
  <c r="H47" i="8"/>
  <c r="I47" i="15" s="1"/>
  <c r="I47" i="28" s="1"/>
  <c r="H11" i="8"/>
  <c r="I11" i="15" s="1"/>
  <c r="I11" i="28" s="1"/>
  <c r="H18" i="8"/>
  <c r="I18" i="15" s="1"/>
  <c r="I18" i="28" s="1"/>
  <c r="H26" i="8"/>
  <c r="I26" i="15" s="1"/>
  <c r="I26" i="28" s="1"/>
  <c r="H42" i="8"/>
  <c r="I42" i="15" s="1"/>
  <c r="I42" i="28" s="1"/>
  <c r="H45" i="8"/>
  <c r="I45" i="15" s="1"/>
  <c r="I45" i="28" s="1"/>
  <c r="H29" i="8"/>
  <c r="I29" i="15" s="1"/>
  <c r="I29" i="28" s="1"/>
  <c r="H32" i="8"/>
  <c r="I32" i="15" s="1"/>
  <c r="I32" i="28" s="1"/>
  <c r="H48" i="8"/>
  <c r="I48" i="15" s="1"/>
  <c r="I48" i="28" s="1"/>
  <c r="H49" i="8"/>
  <c r="I49" i="15" s="1"/>
  <c r="I49" i="28" s="1"/>
  <c r="F11" i="17"/>
  <c r="F12" i="17" s="1"/>
  <c r="F13" i="17" s="1"/>
  <c r="F14" i="17" s="1"/>
  <c r="I5" i="15" l="1"/>
  <c r="I5" i="28" s="1"/>
  <c r="I55" i="28" s="1"/>
  <c r="H55" i="8"/>
  <c r="I55" i="15" s="1"/>
  <c r="F21" i="17"/>
  <c r="F22" i="17" s="1"/>
  <c r="F17" i="17"/>
  <c r="F18" i="17" s="1"/>
  <c r="F24" i="17" l="1"/>
  <c r="Q55" i="7" l="1"/>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H5" i="15" l="1"/>
  <c r="H5" i="28" s="1"/>
  <c r="H5" i="1"/>
  <c r="H5" i="27" s="1"/>
  <c r="H9" i="15"/>
  <c r="H9" i="28" s="1"/>
  <c r="H9" i="1"/>
  <c r="H9" i="27" s="1"/>
  <c r="H13" i="15"/>
  <c r="H13" i="28" s="1"/>
  <c r="H13" i="1"/>
  <c r="H13" i="27" s="1"/>
  <c r="H17" i="15"/>
  <c r="H17" i="28" s="1"/>
  <c r="H17" i="1"/>
  <c r="H17" i="27" s="1"/>
  <c r="H21" i="15"/>
  <c r="H21" i="28" s="1"/>
  <c r="H21" i="1"/>
  <c r="H21" i="27" s="1"/>
  <c r="H25" i="15"/>
  <c r="H25" i="28" s="1"/>
  <c r="H25" i="1"/>
  <c r="H25" i="27" s="1"/>
  <c r="H29" i="15"/>
  <c r="H29" i="28" s="1"/>
  <c r="H29" i="1"/>
  <c r="H29" i="27" s="1"/>
  <c r="H33" i="15"/>
  <c r="H33" i="28" s="1"/>
  <c r="H33" i="1"/>
  <c r="H33" i="27" s="1"/>
  <c r="H37" i="15"/>
  <c r="H37" i="28" s="1"/>
  <c r="H37" i="1"/>
  <c r="H37" i="27" s="1"/>
  <c r="H41" i="15"/>
  <c r="H41" i="28" s="1"/>
  <c r="H41" i="1"/>
  <c r="H41" i="27" s="1"/>
  <c r="H45" i="15"/>
  <c r="H45" i="28" s="1"/>
  <c r="H45" i="1"/>
  <c r="H45" i="27" s="1"/>
  <c r="H49" i="15"/>
  <c r="H49" i="28" s="1"/>
  <c r="H49" i="1"/>
  <c r="H49" i="27" s="1"/>
  <c r="H53" i="15"/>
  <c r="H53" i="28" s="1"/>
  <c r="H53" i="1"/>
  <c r="H53" i="27" s="1"/>
  <c r="H6" i="15"/>
  <c r="H6" i="28" s="1"/>
  <c r="H6" i="1"/>
  <c r="H6" i="27" s="1"/>
  <c r="H10" i="15"/>
  <c r="H10" i="28" s="1"/>
  <c r="H10" i="1"/>
  <c r="H10" i="27" s="1"/>
  <c r="H14" i="15"/>
  <c r="H14" i="28" s="1"/>
  <c r="H14" i="1"/>
  <c r="H14" i="27" s="1"/>
  <c r="H18" i="15"/>
  <c r="H18" i="28" s="1"/>
  <c r="H18" i="1"/>
  <c r="H18" i="27" s="1"/>
  <c r="H22" i="15"/>
  <c r="H22" i="28" s="1"/>
  <c r="H22" i="1"/>
  <c r="H22" i="27" s="1"/>
  <c r="H26" i="15"/>
  <c r="H26" i="28" s="1"/>
  <c r="H26" i="1"/>
  <c r="H26" i="27" s="1"/>
  <c r="H30" i="15"/>
  <c r="H30" i="28" s="1"/>
  <c r="H30" i="1"/>
  <c r="H30" i="27" s="1"/>
  <c r="H34" i="15"/>
  <c r="H34" i="28" s="1"/>
  <c r="H34" i="1"/>
  <c r="H34" i="27" s="1"/>
  <c r="H38" i="15"/>
  <c r="H38" i="28" s="1"/>
  <c r="H38" i="1"/>
  <c r="H38" i="27" s="1"/>
  <c r="H42" i="15"/>
  <c r="H42" i="28" s="1"/>
  <c r="H42" i="1"/>
  <c r="H42" i="27" s="1"/>
  <c r="H46" i="15"/>
  <c r="H46" i="28" s="1"/>
  <c r="H46" i="1"/>
  <c r="H46" i="27" s="1"/>
  <c r="H50" i="15"/>
  <c r="H50" i="28" s="1"/>
  <c r="H50" i="1"/>
  <c r="H50" i="27" s="1"/>
  <c r="H54" i="15"/>
  <c r="H54" i="28" s="1"/>
  <c r="H54" i="1"/>
  <c r="H54" i="27" s="1"/>
  <c r="H7" i="15"/>
  <c r="H7" i="28" s="1"/>
  <c r="H7" i="1"/>
  <c r="H7" i="27" s="1"/>
  <c r="H11" i="15"/>
  <c r="H11" i="28" s="1"/>
  <c r="H11" i="1"/>
  <c r="H11" i="27" s="1"/>
  <c r="H15" i="15"/>
  <c r="H15" i="28" s="1"/>
  <c r="H15" i="1"/>
  <c r="H15" i="27" s="1"/>
  <c r="H19" i="15"/>
  <c r="H19" i="28" s="1"/>
  <c r="H19" i="1"/>
  <c r="H19" i="27" s="1"/>
  <c r="H23" i="15"/>
  <c r="H23" i="28" s="1"/>
  <c r="H23" i="1"/>
  <c r="H23" i="27" s="1"/>
  <c r="H27" i="15"/>
  <c r="H27" i="28" s="1"/>
  <c r="H27" i="1"/>
  <c r="H27" i="27" s="1"/>
  <c r="H31" i="15"/>
  <c r="H31" i="28" s="1"/>
  <c r="H31" i="1"/>
  <c r="H31" i="27" s="1"/>
  <c r="H35" i="15"/>
  <c r="H35" i="28" s="1"/>
  <c r="H35" i="1"/>
  <c r="H35" i="27" s="1"/>
  <c r="H39" i="15"/>
  <c r="H39" i="28" s="1"/>
  <c r="H39" i="1"/>
  <c r="H39" i="27" s="1"/>
  <c r="H43" i="15"/>
  <c r="H43" i="28" s="1"/>
  <c r="H43" i="1"/>
  <c r="H43" i="27" s="1"/>
  <c r="H47" i="15"/>
  <c r="H47" i="28" s="1"/>
  <c r="H47" i="1"/>
  <c r="H47" i="27" s="1"/>
  <c r="H51" i="15"/>
  <c r="H51" i="28" s="1"/>
  <c r="H51" i="1"/>
  <c r="H51" i="27" s="1"/>
  <c r="H55" i="15"/>
  <c r="H55" i="1"/>
  <c r="H8" i="15"/>
  <c r="H8" i="28" s="1"/>
  <c r="H8" i="1"/>
  <c r="H8" i="27" s="1"/>
  <c r="H12" i="15"/>
  <c r="H12" i="28" s="1"/>
  <c r="H12" i="1"/>
  <c r="H12" i="27" s="1"/>
  <c r="H16" i="15"/>
  <c r="H16" i="28" s="1"/>
  <c r="H16" i="1"/>
  <c r="H16" i="27" s="1"/>
  <c r="H20" i="15"/>
  <c r="H20" i="28" s="1"/>
  <c r="H20" i="1"/>
  <c r="H20" i="27" s="1"/>
  <c r="H24" i="15"/>
  <c r="H24" i="28" s="1"/>
  <c r="H24" i="1"/>
  <c r="H24" i="27" s="1"/>
  <c r="H28" i="15"/>
  <c r="H28" i="28" s="1"/>
  <c r="H28" i="1"/>
  <c r="H28" i="27" s="1"/>
  <c r="H32" i="15"/>
  <c r="H32" i="28" s="1"/>
  <c r="H32" i="1"/>
  <c r="H32" i="27" s="1"/>
  <c r="H36" i="15"/>
  <c r="H36" i="28" s="1"/>
  <c r="H36" i="1"/>
  <c r="H36" i="27" s="1"/>
  <c r="H40" i="15"/>
  <c r="H40" i="28" s="1"/>
  <c r="H40" i="1"/>
  <c r="H40" i="27" s="1"/>
  <c r="H44" i="15"/>
  <c r="H44" i="28" s="1"/>
  <c r="H44" i="1"/>
  <c r="H44" i="27" s="1"/>
  <c r="H48" i="15"/>
  <c r="H48" i="28" s="1"/>
  <c r="H48" i="1"/>
  <c r="H48" i="27" s="1"/>
  <c r="H52" i="15"/>
  <c r="H52" i="28" s="1"/>
  <c r="H52" i="1"/>
  <c r="H52" i="27" s="1"/>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G6" i="15" l="1"/>
  <c r="G6" i="28" s="1"/>
  <c r="G6" i="1"/>
  <c r="G6" i="27" s="1"/>
  <c r="G10" i="15"/>
  <c r="G10" i="28" s="1"/>
  <c r="G10" i="1"/>
  <c r="G10" i="27" s="1"/>
  <c r="G14" i="15"/>
  <c r="G14" i="28" s="1"/>
  <c r="G14" i="1"/>
  <c r="G14" i="27" s="1"/>
  <c r="G18" i="15"/>
  <c r="G18" i="28" s="1"/>
  <c r="G18" i="1"/>
  <c r="G18" i="27" s="1"/>
  <c r="G22" i="15"/>
  <c r="G22" i="28" s="1"/>
  <c r="G22" i="1"/>
  <c r="G22" i="27" s="1"/>
  <c r="G26" i="15"/>
  <c r="G26" i="28" s="1"/>
  <c r="G26" i="1"/>
  <c r="G26" i="27" s="1"/>
  <c r="G30" i="15"/>
  <c r="G30" i="28" s="1"/>
  <c r="G30" i="1"/>
  <c r="G30" i="27" s="1"/>
  <c r="G34" i="15"/>
  <c r="G34" i="28" s="1"/>
  <c r="G34" i="1"/>
  <c r="G34" i="27" s="1"/>
  <c r="G38" i="15"/>
  <c r="G38" i="28" s="1"/>
  <c r="G38" i="1"/>
  <c r="G38" i="27" s="1"/>
  <c r="G42" i="15"/>
  <c r="G42" i="28" s="1"/>
  <c r="G42" i="1"/>
  <c r="G42" i="27" s="1"/>
  <c r="G46" i="15"/>
  <c r="G46" i="28" s="1"/>
  <c r="G46" i="1"/>
  <c r="G46" i="27" s="1"/>
  <c r="G50" i="15"/>
  <c r="G50" i="28" s="1"/>
  <c r="G50" i="1"/>
  <c r="G50" i="27" s="1"/>
  <c r="G54" i="15"/>
  <c r="G54" i="28" s="1"/>
  <c r="G54" i="1"/>
  <c r="G54" i="27" s="1"/>
  <c r="G7" i="15"/>
  <c r="G7" i="28" s="1"/>
  <c r="G7" i="1"/>
  <c r="G7" i="27" s="1"/>
  <c r="G11" i="15"/>
  <c r="G11" i="28" s="1"/>
  <c r="G11" i="1"/>
  <c r="G11" i="27" s="1"/>
  <c r="G15" i="15"/>
  <c r="G15" i="28" s="1"/>
  <c r="G15" i="1"/>
  <c r="G15" i="27" s="1"/>
  <c r="G19" i="15"/>
  <c r="G19" i="28" s="1"/>
  <c r="G19" i="1"/>
  <c r="G19" i="27" s="1"/>
  <c r="G23" i="15"/>
  <c r="G23" i="28" s="1"/>
  <c r="G23" i="1"/>
  <c r="G23" i="27" s="1"/>
  <c r="G27" i="15"/>
  <c r="G27" i="28" s="1"/>
  <c r="G27" i="1"/>
  <c r="G27" i="27" s="1"/>
  <c r="G31" i="15"/>
  <c r="G31" i="28" s="1"/>
  <c r="G31" i="1"/>
  <c r="G31" i="27" s="1"/>
  <c r="G35" i="15"/>
  <c r="G35" i="28" s="1"/>
  <c r="G35" i="1"/>
  <c r="G35" i="27" s="1"/>
  <c r="G39" i="15"/>
  <c r="G39" i="28" s="1"/>
  <c r="G39" i="1"/>
  <c r="G39" i="27" s="1"/>
  <c r="G43" i="15"/>
  <c r="G43" i="28" s="1"/>
  <c r="G43" i="1"/>
  <c r="G43" i="27" s="1"/>
  <c r="G47" i="15"/>
  <c r="G47" i="28" s="1"/>
  <c r="G47" i="1"/>
  <c r="G47" i="27" s="1"/>
  <c r="G51" i="15"/>
  <c r="G51" i="28" s="1"/>
  <c r="G51" i="1"/>
  <c r="G51" i="27" s="1"/>
  <c r="G55" i="15"/>
  <c r="G55" i="1"/>
  <c r="G8" i="15"/>
  <c r="G8" i="28" s="1"/>
  <c r="G8" i="1"/>
  <c r="G8" i="27" s="1"/>
  <c r="G12" i="15"/>
  <c r="G12" i="28" s="1"/>
  <c r="G12" i="1"/>
  <c r="G12" i="27" s="1"/>
  <c r="G16" i="15"/>
  <c r="G16" i="28" s="1"/>
  <c r="G16" i="1"/>
  <c r="G16" i="27" s="1"/>
  <c r="G20" i="15"/>
  <c r="G20" i="28" s="1"/>
  <c r="G20" i="1"/>
  <c r="G20" i="27" s="1"/>
  <c r="G24" i="15"/>
  <c r="G24" i="28" s="1"/>
  <c r="G24" i="1"/>
  <c r="G24" i="27" s="1"/>
  <c r="G28" i="15"/>
  <c r="G28" i="28" s="1"/>
  <c r="G28" i="1"/>
  <c r="G28" i="27" s="1"/>
  <c r="G32" i="15"/>
  <c r="G32" i="28" s="1"/>
  <c r="G32" i="1"/>
  <c r="G32" i="27" s="1"/>
  <c r="G36" i="15"/>
  <c r="G36" i="28" s="1"/>
  <c r="G36" i="1"/>
  <c r="G36" i="27" s="1"/>
  <c r="G40" i="15"/>
  <c r="G40" i="28" s="1"/>
  <c r="G40" i="1"/>
  <c r="G40" i="27" s="1"/>
  <c r="G44" i="15"/>
  <c r="G44" i="28" s="1"/>
  <c r="G44" i="1"/>
  <c r="G44" i="27" s="1"/>
  <c r="G48" i="15"/>
  <c r="G48" i="28" s="1"/>
  <c r="G48" i="1"/>
  <c r="G48" i="27" s="1"/>
  <c r="G52" i="15"/>
  <c r="G52" i="28" s="1"/>
  <c r="G52" i="1"/>
  <c r="G52" i="27" s="1"/>
  <c r="H55" i="27"/>
  <c r="G5" i="15"/>
  <c r="G5" i="28" s="1"/>
  <c r="G5" i="1"/>
  <c r="G5" i="27" s="1"/>
  <c r="G9" i="15"/>
  <c r="G9" i="28" s="1"/>
  <c r="G9" i="1"/>
  <c r="G9" i="27" s="1"/>
  <c r="G13" i="15"/>
  <c r="G13" i="28" s="1"/>
  <c r="G13" i="1"/>
  <c r="G13" i="27" s="1"/>
  <c r="G17" i="15"/>
  <c r="G17" i="28" s="1"/>
  <c r="G17" i="1"/>
  <c r="G17" i="27" s="1"/>
  <c r="G21" i="15"/>
  <c r="G21" i="28" s="1"/>
  <c r="G21" i="1"/>
  <c r="G21" i="27" s="1"/>
  <c r="G25" i="15"/>
  <c r="G25" i="28" s="1"/>
  <c r="G25" i="1"/>
  <c r="G25" i="27" s="1"/>
  <c r="G29" i="15"/>
  <c r="G29" i="28" s="1"/>
  <c r="G29" i="1"/>
  <c r="G29" i="27" s="1"/>
  <c r="G33" i="15"/>
  <c r="G33" i="28" s="1"/>
  <c r="G33" i="1"/>
  <c r="G33" i="27" s="1"/>
  <c r="G37" i="15"/>
  <c r="G37" i="28" s="1"/>
  <c r="G37" i="1"/>
  <c r="G37" i="27" s="1"/>
  <c r="G41" i="15"/>
  <c r="G41" i="28" s="1"/>
  <c r="G41" i="1"/>
  <c r="G41" i="27" s="1"/>
  <c r="G45" i="15"/>
  <c r="G45" i="28" s="1"/>
  <c r="G45" i="1"/>
  <c r="G45" i="27" s="1"/>
  <c r="G49" i="15"/>
  <c r="G49" i="28" s="1"/>
  <c r="G49" i="1"/>
  <c r="G49" i="27" s="1"/>
  <c r="G53" i="15"/>
  <c r="G53" i="28" s="1"/>
  <c r="G53" i="1"/>
  <c r="G53" i="27" s="1"/>
  <c r="H55" i="28"/>
  <c r="M4" i="6"/>
  <c r="C55" i="3"/>
  <c r="D55" i="3" s="1"/>
  <c r="C50" i="3"/>
  <c r="D50" i="3" s="1"/>
  <c r="C45" i="3"/>
  <c r="D45" i="3" s="1"/>
  <c r="C39" i="3"/>
  <c r="D39" i="3" s="1"/>
  <c r="C34" i="3"/>
  <c r="D34" i="3" s="1"/>
  <c r="C29" i="3"/>
  <c r="D29" i="3" s="1"/>
  <c r="C23" i="3"/>
  <c r="D23" i="3" s="1"/>
  <c r="C18" i="3"/>
  <c r="D18" i="3" s="1"/>
  <c r="C13" i="3"/>
  <c r="D13" i="3" s="1"/>
  <c r="C7" i="3"/>
  <c r="D7" i="3" s="1"/>
  <c r="L4" i="3"/>
  <c r="C52" i="3" s="1"/>
  <c r="D52" i="3" s="1"/>
  <c r="G55" i="2"/>
  <c r="H55" i="2" s="1"/>
  <c r="L55" i="2" s="1"/>
  <c r="R55" i="2"/>
  <c r="C9" i="3" l="1"/>
  <c r="D9" i="3" s="1"/>
  <c r="C14" i="3"/>
  <c r="D14" i="3" s="1"/>
  <c r="C19" i="3"/>
  <c r="D19" i="3" s="1"/>
  <c r="C25" i="3"/>
  <c r="D25" i="3" s="1"/>
  <c r="C30" i="3"/>
  <c r="D30" i="3" s="1"/>
  <c r="C35" i="3"/>
  <c r="D35" i="3" s="1"/>
  <c r="C41" i="3"/>
  <c r="D41" i="3" s="1"/>
  <c r="C46" i="3"/>
  <c r="D46" i="3" s="1"/>
  <c r="C51" i="3"/>
  <c r="D51" i="3" s="1"/>
  <c r="C5" i="3"/>
  <c r="D5" i="3" s="1"/>
  <c r="C10" i="3"/>
  <c r="D10" i="3" s="1"/>
  <c r="C15" i="3"/>
  <c r="D15" i="3" s="1"/>
  <c r="C21" i="3"/>
  <c r="D21" i="3" s="1"/>
  <c r="C26" i="3"/>
  <c r="D26" i="3" s="1"/>
  <c r="C31" i="3"/>
  <c r="D31" i="3" s="1"/>
  <c r="C37" i="3"/>
  <c r="D37" i="3" s="1"/>
  <c r="C42" i="3"/>
  <c r="D42" i="3" s="1"/>
  <c r="C47" i="3"/>
  <c r="D47" i="3" s="1"/>
  <c r="C53" i="3"/>
  <c r="D53" i="3" s="1"/>
  <c r="C6" i="3"/>
  <c r="D6" i="3" s="1"/>
  <c r="C11" i="3"/>
  <c r="D11" i="3" s="1"/>
  <c r="C17" i="3"/>
  <c r="D17" i="3" s="1"/>
  <c r="C22" i="3"/>
  <c r="D22" i="3" s="1"/>
  <c r="C27" i="3"/>
  <c r="D27" i="3" s="1"/>
  <c r="C33" i="3"/>
  <c r="D33" i="3" s="1"/>
  <c r="C38" i="3"/>
  <c r="D38" i="3" s="1"/>
  <c r="C43" i="3"/>
  <c r="D43" i="3" s="1"/>
  <c r="C49" i="3"/>
  <c r="D49" i="3" s="1"/>
  <c r="C54" i="3"/>
  <c r="D54" i="3" s="1"/>
  <c r="G55" i="27"/>
  <c r="G55" i="28"/>
  <c r="C8" i="3"/>
  <c r="D8" i="3" s="1"/>
  <c r="C12" i="3"/>
  <c r="D12" i="3" s="1"/>
  <c r="C16" i="3"/>
  <c r="D16" i="3" s="1"/>
  <c r="C20" i="3"/>
  <c r="D20" i="3" s="1"/>
  <c r="C24" i="3"/>
  <c r="D24" i="3" s="1"/>
  <c r="C28" i="3"/>
  <c r="D28" i="3" s="1"/>
  <c r="C32" i="3"/>
  <c r="D32" i="3" s="1"/>
  <c r="C36" i="3"/>
  <c r="D36" i="3" s="1"/>
  <c r="C40" i="3"/>
  <c r="D40" i="3" s="1"/>
  <c r="C44" i="3"/>
  <c r="D44" i="3" s="1"/>
  <c r="C48" i="3"/>
  <c r="D48" i="3" s="1"/>
  <c r="M55" i="2"/>
  <c r="K55" i="2"/>
  <c r="J55" i="2"/>
  <c r="S55" i="2" l="1"/>
  <c r="C55" i="1" s="1"/>
  <c r="N55" i="2"/>
  <c r="T55" i="2"/>
  <c r="D53" i="6"/>
  <c r="F53" i="6" s="1"/>
  <c r="G53" i="6" s="1"/>
  <c r="D49" i="6"/>
  <c r="F49" i="6" s="1"/>
  <c r="G49" i="6" s="1"/>
  <c r="D45" i="6"/>
  <c r="F45" i="6" s="1"/>
  <c r="G45" i="6" s="1"/>
  <c r="D41" i="6"/>
  <c r="F41" i="6" s="1"/>
  <c r="G41" i="6" s="1"/>
  <c r="D37" i="6"/>
  <c r="F37" i="6" s="1"/>
  <c r="G37" i="6" s="1"/>
  <c r="D33" i="6"/>
  <c r="F33" i="6" s="1"/>
  <c r="G33" i="6" s="1"/>
  <c r="D29" i="6"/>
  <c r="F29" i="6" s="1"/>
  <c r="G29" i="6" s="1"/>
  <c r="D25" i="6"/>
  <c r="F25" i="6" s="1"/>
  <c r="G25" i="6" s="1"/>
  <c r="D21" i="6"/>
  <c r="F21" i="6" s="1"/>
  <c r="G21" i="6" s="1"/>
  <c r="D17" i="6"/>
  <c r="F17" i="6" s="1"/>
  <c r="G17" i="6" s="1"/>
  <c r="D13" i="6"/>
  <c r="F13" i="6" s="1"/>
  <c r="G13" i="6" s="1"/>
  <c r="D10" i="6"/>
  <c r="F10" i="6" s="1"/>
  <c r="G10" i="6" s="1"/>
  <c r="D6" i="6"/>
  <c r="F6" i="6" s="1"/>
  <c r="G6" i="6" s="1"/>
  <c r="D52" i="6"/>
  <c r="F52" i="6" s="1"/>
  <c r="G52" i="6" s="1"/>
  <c r="F52" i="15" l="1"/>
  <c r="F52" i="28" s="1"/>
  <c r="F52" i="1"/>
  <c r="F52" i="27" s="1"/>
  <c r="F33" i="15"/>
  <c r="F33" i="28" s="1"/>
  <c r="F33" i="1"/>
  <c r="F33" i="27" s="1"/>
  <c r="F6" i="15"/>
  <c r="F6" i="28" s="1"/>
  <c r="F6" i="1"/>
  <c r="F6" i="27" s="1"/>
  <c r="F37" i="15"/>
  <c r="F37" i="28" s="1"/>
  <c r="F37" i="1"/>
  <c r="F37" i="27" s="1"/>
  <c r="F10" i="15"/>
  <c r="F10" i="28" s="1"/>
  <c r="F10" i="1"/>
  <c r="F10" i="27" s="1"/>
  <c r="F41" i="15"/>
  <c r="F41" i="28" s="1"/>
  <c r="F41" i="1"/>
  <c r="F41" i="27" s="1"/>
  <c r="F17" i="15"/>
  <c r="F17" i="28" s="1"/>
  <c r="F17" i="1"/>
  <c r="F17" i="27" s="1"/>
  <c r="F49" i="15"/>
  <c r="F49" i="28" s="1"/>
  <c r="F49" i="1"/>
  <c r="F49" i="27" s="1"/>
  <c r="F21" i="15"/>
  <c r="F21" i="28" s="1"/>
  <c r="F21" i="1"/>
  <c r="F21" i="27" s="1"/>
  <c r="F53" i="15"/>
  <c r="F53" i="28" s="1"/>
  <c r="F53" i="1"/>
  <c r="F53" i="27" s="1"/>
  <c r="F25" i="15"/>
  <c r="F25" i="28" s="1"/>
  <c r="F25" i="1"/>
  <c r="F25" i="27" s="1"/>
  <c r="F13" i="15"/>
  <c r="F13" i="28" s="1"/>
  <c r="F13" i="1"/>
  <c r="F13" i="27" s="1"/>
  <c r="F29" i="15"/>
  <c r="F29" i="28" s="1"/>
  <c r="F29" i="1"/>
  <c r="F29" i="27" s="1"/>
  <c r="F45" i="15"/>
  <c r="F45" i="28" s="1"/>
  <c r="F45" i="1"/>
  <c r="F45" i="27" s="1"/>
  <c r="D7" i="6"/>
  <c r="F7" i="6" s="1"/>
  <c r="G7" i="6" s="1"/>
  <c r="D11" i="6"/>
  <c r="F11" i="6" s="1"/>
  <c r="G11" i="6" s="1"/>
  <c r="D14" i="6"/>
  <c r="F14" i="6" s="1"/>
  <c r="G14" i="6" s="1"/>
  <c r="D18" i="6"/>
  <c r="F18" i="6" s="1"/>
  <c r="G18" i="6" s="1"/>
  <c r="D22" i="6"/>
  <c r="F22" i="6" s="1"/>
  <c r="G22" i="6" s="1"/>
  <c r="D26" i="6"/>
  <c r="F26" i="6" s="1"/>
  <c r="G26" i="6" s="1"/>
  <c r="D30" i="6"/>
  <c r="F30" i="6" s="1"/>
  <c r="G30" i="6" s="1"/>
  <c r="D34" i="6"/>
  <c r="F34" i="6" s="1"/>
  <c r="G34" i="6" s="1"/>
  <c r="D38" i="6"/>
  <c r="F38" i="6" s="1"/>
  <c r="G38" i="6" s="1"/>
  <c r="D42" i="6"/>
  <c r="F42" i="6" s="1"/>
  <c r="G42" i="6" s="1"/>
  <c r="D46" i="6"/>
  <c r="F46" i="6" s="1"/>
  <c r="G46" i="6" s="1"/>
  <c r="D50" i="6"/>
  <c r="F50" i="6" s="1"/>
  <c r="G50" i="6" s="1"/>
  <c r="D54" i="6"/>
  <c r="F54" i="6" s="1"/>
  <c r="G54" i="6" s="1"/>
  <c r="D4" i="6"/>
  <c r="D8" i="6"/>
  <c r="F8" i="6" s="1"/>
  <c r="G8" i="6" s="1"/>
  <c r="D12" i="6"/>
  <c r="F12" i="6" s="1"/>
  <c r="G12" i="6" s="1"/>
  <c r="D15" i="6"/>
  <c r="F15" i="6" s="1"/>
  <c r="G15" i="6" s="1"/>
  <c r="D19" i="6"/>
  <c r="F19" i="6" s="1"/>
  <c r="G19" i="6" s="1"/>
  <c r="D23" i="6"/>
  <c r="F23" i="6" s="1"/>
  <c r="G23" i="6" s="1"/>
  <c r="D27" i="6"/>
  <c r="F27" i="6" s="1"/>
  <c r="G27" i="6" s="1"/>
  <c r="D31" i="6"/>
  <c r="F31" i="6" s="1"/>
  <c r="G31" i="6" s="1"/>
  <c r="D35" i="6"/>
  <c r="F35" i="6" s="1"/>
  <c r="G35" i="6" s="1"/>
  <c r="D39" i="6"/>
  <c r="F39" i="6" s="1"/>
  <c r="G39" i="6" s="1"/>
  <c r="D43" i="6"/>
  <c r="F43" i="6" s="1"/>
  <c r="G43" i="6" s="1"/>
  <c r="D47" i="6"/>
  <c r="F47" i="6" s="1"/>
  <c r="G47" i="6" s="1"/>
  <c r="D51" i="6"/>
  <c r="F51" i="6" s="1"/>
  <c r="G51" i="6" s="1"/>
  <c r="D5" i="6"/>
  <c r="F5" i="6" s="1"/>
  <c r="G5" i="6" s="1"/>
  <c r="D9" i="6"/>
  <c r="F9" i="6" s="1"/>
  <c r="G9" i="6" s="1"/>
  <c r="D16" i="6"/>
  <c r="F16" i="6" s="1"/>
  <c r="G16" i="6" s="1"/>
  <c r="D20" i="6"/>
  <c r="F20" i="6" s="1"/>
  <c r="G20" i="6" s="1"/>
  <c r="D24" i="6"/>
  <c r="F24" i="6" s="1"/>
  <c r="G24" i="6" s="1"/>
  <c r="D28" i="6"/>
  <c r="F28" i="6" s="1"/>
  <c r="G28" i="6" s="1"/>
  <c r="D32" i="6"/>
  <c r="F32" i="6" s="1"/>
  <c r="G32" i="6" s="1"/>
  <c r="D36" i="6"/>
  <c r="F36" i="6" s="1"/>
  <c r="G36" i="6" s="1"/>
  <c r="D40" i="6"/>
  <c r="F40" i="6" s="1"/>
  <c r="G40" i="6" s="1"/>
  <c r="D44" i="6"/>
  <c r="F44" i="6" s="1"/>
  <c r="G44" i="6" s="1"/>
  <c r="D48" i="6"/>
  <c r="F48" i="6" s="1"/>
  <c r="G48" i="6" s="1"/>
  <c r="D54" i="4"/>
  <c r="E54" i="4" s="1"/>
  <c r="F54" i="4" s="1"/>
  <c r="I54" i="4" s="1"/>
  <c r="E54" i="15" s="1"/>
  <c r="E54" i="28" s="1"/>
  <c r="D53" i="4"/>
  <c r="E53" i="4" s="1"/>
  <c r="F53" i="4" s="1"/>
  <c r="I53" i="4" s="1"/>
  <c r="E53" i="15" s="1"/>
  <c r="E53" i="28" s="1"/>
  <c r="D52" i="4"/>
  <c r="E52" i="4" s="1"/>
  <c r="F52" i="4" s="1"/>
  <c r="I52" i="4" s="1"/>
  <c r="E52" i="15" s="1"/>
  <c r="E52" i="28" s="1"/>
  <c r="D51" i="4"/>
  <c r="E51" i="4" s="1"/>
  <c r="F51" i="4" s="1"/>
  <c r="I51" i="4" s="1"/>
  <c r="E51" i="15" s="1"/>
  <c r="E51" i="28" s="1"/>
  <c r="D50" i="4"/>
  <c r="E50" i="4" s="1"/>
  <c r="F50" i="4" s="1"/>
  <c r="I50" i="4" s="1"/>
  <c r="E50" i="15" s="1"/>
  <c r="E50" i="28" s="1"/>
  <c r="D49" i="4"/>
  <c r="E49" i="4" s="1"/>
  <c r="F49" i="4" s="1"/>
  <c r="I49" i="4" s="1"/>
  <c r="E49" i="15" s="1"/>
  <c r="E49" i="28" s="1"/>
  <c r="D48" i="4"/>
  <c r="E48" i="4" s="1"/>
  <c r="F48" i="4" s="1"/>
  <c r="I48" i="4" s="1"/>
  <c r="E48" i="15" s="1"/>
  <c r="E48" i="28" s="1"/>
  <c r="D47" i="4"/>
  <c r="E47" i="4" s="1"/>
  <c r="F47" i="4" s="1"/>
  <c r="I47" i="4" s="1"/>
  <c r="E47" i="15" s="1"/>
  <c r="E47" i="28" s="1"/>
  <c r="D46" i="4"/>
  <c r="E46" i="4" s="1"/>
  <c r="F46" i="4" s="1"/>
  <c r="I46" i="4" s="1"/>
  <c r="E46" i="15" s="1"/>
  <c r="E46" i="28" s="1"/>
  <c r="D45" i="4"/>
  <c r="E45" i="4" s="1"/>
  <c r="F45" i="4" s="1"/>
  <c r="I45" i="4" s="1"/>
  <c r="E45" i="15" s="1"/>
  <c r="E45" i="28" s="1"/>
  <c r="D44" i="4"/>
  <c r="E44" i="4" s="1"/>
  <c r="F44" i="4" s="1"/>
  <c r="I44" i="4" s="1"/>
  <c r="E44" i="15" s="1"/>
  <c r="E44" i="28" s="1"/>
  <c r="D43" i="4"/>
  <c r="E43" i="4" s="1"/>
  <c r="F43" i="4" s="1"/>
  <c r="I43" i="4" s="1"/>
  <c r="E43" i="15" s="1"/>
  <c r="E43" i="28" s="1"/>
  <c r="D42" i="4"/>
  <c r="E42" i="4" s="1"/>
  <c r="F42" i="4" s="1"/>
  <c r="I42" i="4" s="1"/>
  <c r="E42" i="15" s="1"/>
  <c r="E42" i="28" s="1"/>
  <c r="D41" i="4"/>
  <c r="E41" i="4" s="1"/>
  <c r="F41" i="4" s="1"/>
  <c r="I41" i="4" s="1"/>
  <c r="E41" i="15" s="1"/>
  <c r="E41" i="28" s="1"/>
  <c r="D40" i="4"/>
  <c r="E40" i="4" s="1"/>
  <c r="F40" i="4" s="1"/>
  <c r="I40" i="4" s="1"/>
  <c r="E40" i="15" s="1"/>
  <c r="E40" i="28" s="1"/>
  <c r="D39" i="4"/>
  <c r="E39" i="4" s="1"/>
  <c r="F39" i="4" s="1"/>
  <c r="I39" i="4" s="1"/>
  <c r="E39" i="15" s="1"/>
  <c r="E39" i="28" s="1"/>
  <c r="D38" i="4"/>
  <c r="E38" i="4" s="1"/>
  <c r="F38" i="4" s="1"/>
  <c r="I38" i="4" s="1"/>
  <c r="E38" i="15" s="1"/>
  <c r="E38" i="28" s="1"/>
  <c r="D37" i="4"/>
  <c r="E37" i="4" s="1"/>
  <c r="F37" i="4" s="1"/>
  <c r="I37" i="4" s="1"/>
  <c r="E37" i="15" s="1"/>
  <c r="E37" i="28" s="1"/>
  <c r="D36" i="4"/>
  <c r="E36" i="4" s="1"/>
  <c r="F36" i="4" s="1"/>
  <c r="I36" i="4" s="1"/>
  <c r="E36" i="15" s="1"/>
  <c r="E36" i="28" s="1"/>
  <c r="D35" i="4"/>
  <c r="E35" i="4" s="1"/>
  <c r="F35" i="4" s="1"/>
  <c r="I35" i="4" s="1"/>
  <c r="E35" i="15" s="1"/>
  <c r="E35" i="28" s="1"/>
  <c r="D34" i="4"/>
  <c r="E34" i="4" s="1"/>
  <c r="F34" i="4" s="1"/>
  <c r="I34" i="4" s="1"/>
  <c r="E34" i="15" s="1"/>
  <c r="E34" i="28" s="1"/>
  <c r="D33" i="4"/>
  <c r="E33" i="4" s="1"/>
  <c r="F33" i="4" s="1"/>
  <c r="I33" i="4" s="1"/>
  <c r="E33" i="15" s="1"/>
  <c r="E33" i="28" s="1"/>
  <c r="D32" i="4"/>
  <c r="E32" i="4" s="1"/>
  <c r="F32" i="4" s="1"/>
  <c r="I32" i="4" s="1"/>
  <c r="E32" i="15" s="1"/>
  <c r="E32" i="28" s="1"/>
  <c r="D31" i="4"/>
  <c r="E31" i="4" s="1"/>
  <c r="F31" i="4" s="1"/>
  <c r="I31" i="4" s="1"/>
  <c r="E31" i="15" s="1"/>
  <c r="E31" i="28" s="1"/>
  <c r="D30" i="4"/>
  <c r="E30" i="4" s="1"/>
  <c r="F30" i="4" s="1"/>
  <c r="I30" i="4" s="1"/>
  <c r="E30" i="15" s="1"/>
  <c r="E30" i="28" s="1"/>
  <c r="D29" i="4"/>
  <c r="E29" i="4" s="1"/>
  <c r="F29" i="4" s="1"/>
  <c r="I29" i="4" s="1"/>
  <c r="E29" i="15" s="1"/>
  <c r="E29" i="28" s="1"/>
  <c r="D28" i="4"/>
  <c r="E28" i="4" s="1"/>
  <c r="F28" i="4" s="1"/>
  <c r="I28" i="4" s="1"/>
  <c r="E28" i="15" s="1"/>
  <c r="E28" i="28" s="1"/>
  <c r="D27" i="4"/>
  <c r="E27" i="4" s="1"/>
  <c r="F27" i="4" s="1"/>
  <c r="I27" i="4" s="1"/>
  <c r="E27" i="15" s="1"/>
  <c r="E27" i="28" s="1"/>
  <c r="D26" i="4"/>
  <c r="E26" i="4" s="1"/>
  <c r="F26" i="4" s="1"/>
  <c r="I26" i="4" s="1"/>
  <c r="E26" i="15" s="1"/>
  <c r="E26" i="28" s="1"/>
  <c r="D25" i="4"/>
  <c r="E25" i="4" s="1"/>
  <c r="F25" i="4" s="1"/>
  <c r="I25" i="4" s="1"/>
  <c r="E25" i="15" s="1"/>
  <c r="E25" i="28" s="1"/>
  <c r="D24" i="4"/>
  <c r="E24" i="4" s="1"/>
  <c r="F24" i="4" s="1"/>
  <c r="I24" i="4" s="1"/>
  <c r="E24" i="15" s="1"/>
  <c r="E24" i="28" s="1"/>
  <c r="D23" i="4"/>
  <c r="E23" i="4" s="1"/>
  <c r="F23" i="4" s="1"/>
  <c r="I23" i="4" s="1"/>
  <c r="E23" i="15" s="1"/>
  <c r="E23" i="28" s="1"/>
  <c r="D22" i="4"/>
  <c r="E22" i="4" s="1"/>
  <c r="F22" i="4" s="1"/>
  <c r="I22" i="4" s="1"/>
  <c r="E22" i="15" s="1"/>
  <c r="E22" i="28" s="1"/>
  <c r="D21" i="4"/>
  <c r="E21" i="4" s="1"/>
  <c r="F21" i="4" s="1"/>
  <c r="I21" i="4" s="1"/>
  <c r="E21" i="15" s="1"/>
  <c r="E21" i="28" s="1"/>
  <c r="D20" i="4"/>
  <c r="E20" i="4" s="1"/>
  <c r="F20" i="4" s="1"/>
  <c r="I20" i="4" s="1"/>
  <c r="E20" i="15" s="1"/>
  <c r="E20" i="28" s="1"/>
  <c r="D19" i="4"/>
  <c r="E19" i="4" s="1"/>
  <c r="F19" i="4" s="1"/>
  <c r="I19" i="4" s="1"/>
  <c r="E19" i="15" s="1"/>
  <c r="E19" i="28" s="1"/>
  <c r="D18" i="4"/>
  <c r="E18" i="4" s="1"/>
  <c r="F18" i="4" s="1"/>
  <c r="I18" i="4" s="1"/>
  <c r="E18" i="15" s="1"/>
  <c r="E18" i="28" s="1"/>
  <c r="D17" i="4"/>
  <c r="E17" i="4" s="1"/>
  <c r="F17" i="4" s="1"/>
  <c r="I17" i="4" s="1"/>
  <c r="E17" i="15" s="1"/>
  <c r="E17" i="28" s="1"/>
  <c r="D16" i="4"/>
  <c r="E16" i="4" s="1"/>
  <c r="F16" i="4" s="1"/>
  <c r="I16" i="4" s="1"/>
  <c r="E16" i="15" s="1"/>
  <c r="E16" i="28" s="1"/>
  <c r="D15" i="4"/>
  <c r="E15" i="4" s="1"/>
  <c r="F15" i="4" s="1"/>
  <c r="I15" i="4" s="1"/>
  <c r="E15" i="15" s="1"/>
  <c r="E15" i="28" s="1"/>
  <c r="D14" i="4"/>
  <c r="E14" i="4" s="1"/>
  <c r="F14" i="4" s="1"/>
  <c r="I14" i="4" s="1"/>
  <c r="E14" i="15" s="1"/>
  <c r="E14" i="28" s="1"/>
  <c r="D13" i="4"/>
  <c r="E13" i="4" s="1"/>
  <c r="F13" i="4" s="1"/>
  <c r="I13" i="4" s="1"/>
  <c r="E13" i="15" s="1"/>
  <c r="E13" i="28" s="1"/>
  <c r="D12" i="4"/>
  <c r="E12" i="4" s="1"/>
  <c r="F12" i="4" s="1"/>
  <c r="I12" i="4" s="1"/>
  <c r="E12" i="15" s="1"/>
  <c r="E12" i="28" s="1"/>
  <c r="D11" i="4"/>
  <c r="E11" i="4" s="1"/>
  <c r="F11" i="4" s="1"/>
  <c r="I11" i="4" s="1"/>
  <c r="E11" i="15" s="1"/>
  <c r="E11" i="28" s="1"/>
  <c r="D10" i="4"/>
  <c r="E10" i="4" s="1"/>
  <c r="F10" i="4" s="1"/>
  <c r="I10" i="4" s="1"/>
  <c r="E10" i="15" s="1"/>
  <c r="E10" i="28" s="1"/>
  <c r="D9" i="4"/>
  <c r="E9" i="4" s="1"/>
  <c r="F9" i="4" s="1"/>
  <c r="I9" i="4" s="1"/>
  <c r="E9" i="15" s="1"/>
  <c r="E9" i="28" s="1"/>
  <c r="D8" i="4"/>
  <c r="E8" i="4" s="1"/>
  <c r="F8" i="4" s="1"/>
  <c r="I8" i="4" s="1"/>
  <c r="E8" i="15" s="1"/>
  <c r="E8" i="28" s="1"/>
  <c r="D7" i="4"/>
  <c r="E7" i="4" s="1"/>
  <c r="F7" i="4" s="1"/>
  <c r="I7" i="4" s="1"/>
  <c r="E7" i="15" s="1"/>
  <c r="E7" i="28" s="1"/>
  <c r="D6" i="4"/>
  <c r="E6" i="4" s="1"/>
  <c r="F6" i="4" s="1"/>
  <c r="I6" i="4" s="1"/>
  <c r="E6" i="15" s="1"/>
  <c r="E6" i="28" s="1"/>
  <c r="D5" i="4"/>
  <c r="E5" i="4" s="1"/>
  <c r="F5" i="4" s="1"/>
  <c r="I5" i="4" s="1"/>
  <c r="E5" i="15" s="1"/>
  <c r="E5" i="28" s="1"/>
  <c r="D55" i="4"/>
  <c r="E55" i="4" s="1"/>
  <c r="F55" i="4" s="1"/>
  <c r="I55" i="4" s="1"/>
  <c r="E55" i="15" s="1"/>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G54" i="2"/>
  <c r="H54" i="2" s="1"/>
  <c r="J54" i="2" s="1"/>
  <c r="G53" i="2"/>
  <c r="H53" i="2" s="1"/>
  <c r="J53" i="2" s="1"/>
  <c r="G52" i="2"/>
  <c r="H52" i="2" s="1"/>
  <c r="K52" i="2" s="1"/>
  <c r="G51" i="2"/>
  <c r="H51" i="2" s="1"/>
  <c r="J51" i="2" s="1"/>
  <c r="G50" i="2"/>
  <c r="H50" i="2" s="1"/>
  <c r="J50" i="2" s="1"/>
  <c r="G49" i="2"/>
  <c r="H49" i="2" s="1"/>
  <c r="J49" i="2" s="1"/>
  <c r="G48" i="2"/>
  <c r="H48" i="2" s="1"/>
  <c r="G47" i="2"/>
  <c r="H47" i="2" s="1"/>
  <c r="J47" i="2" s="1"/>
  <c r="G46" i="2"/>
  <c r="H46" i="2" s="1"/>
  <c r="J46" i="2" s="1"/>
  <c r="G45" i="2"/>
  <c r="H45" i="2" s="1"/>
  <c r="K45" i="2" s="1"/>
  <c r="G44" i="2"/>
  <c r="H44" i="2" s="1"/>
  <c r="J44" i="2" s="1"/>
  <c r="G43" i="2"/>
  <c r="H43" i="2" s="1"/>
  <c r="J43" i="2" s="1"/>
  <c r="G42" i="2"/>
  <c r="H42" i="2" s="1"/>
  <c r="J42" i="2" s="1"/>
  <c r="G41" i="2"/>
  <c r="H41" i="2" s="1"/>
  <c r="G40" i="2"/>
  <c r="H40" i="2" s="1"/>
  <c r="J40" i="2" s="1"/>
  <c r="G39" i="2"/>
  <c r="H39" i="2" s="1"/>
  <c r="J39" i="2" s="1"/>
  <c r="G38" i="2"/>
  <c r="H38" i="2" s="1"/>
  <c r="J38" i="2" s="1"/>
  <c r="G37" i="2"/>
  <c r="H37" i="2" s="1"/>
  <c r="K37" i="2" s="1"/>
  <c r="G36" i="2"/>
  <c r="H36" i="2" s="1"/>
  <c r="J36" i="2" s="1"/>
  <c r="G35" i="2"/>
  <c r="H35" i="2" s="1"/>
  <c r="J35" i="2" s="1"/>
  <c r="G34" i="2"/>
  <c r="H34" i="2" s="1"/>
  <c r="J34" i="2" s="1"/>
  <c r="G33" i="2"/>
  <c r="H33" i="2" s="1"/>
  <c r="G32" i="2"/>
  <c r="H32" i="2" s="1"/>
  <c r="J32" i="2" s="1"/>
  <c r="G31" i="2"/>
  <c r="H31" i="2" s="1"/>
  <c r="J31" i="2" s="1"/>
  <c r="G30" i="2"/>
  <c r="H30" i="2" s="1"/>
  <c r="J30" i="2" s="1"/>
  <c r="G29" i="2"/>
  <c r="H29" i="2" s="1"/>
  <c r="G28" i="2"/>
  <c r="H28" i="2" s="1"/>
  <c r="J28" i="2" s="1"/>
  <c r="G27" i="2"/>
  <c r="H27" i="2" s="1"/>
  <c r="J27" i="2" s="1"/>
  <c r="G26" i="2"/>
  <c r="H26" i="2" s="1"/>
  <c r="J26" i="2" s="1"/>
  <c r="G25" i="2"/>
  <c r="H25" i="2" s="1"/>
  <c r="G24" i="2"/>
  <c r="H24" i="2" s="1"/>
  <c r="J24" i="2" s="1"/>
  <c r="G23" i="2"/>
  <c r="H23" i="2" s="1"/>
  <c r="J23" i="2" s="1"/>
  <c r="G22" i="2"/>
  <c r="H22" i="2" s="1"/>
  <c r="J22" i="2" s="1"/>
  <c r="G21" i="2"/>
  <c r="H21" i="2" s="1"/>
  <c r="K21" i="2" s="1"/>
  <c r="G20" i="2"/>
  <c r="H20" i="2" s="1"/>
  <c r="J20" i="2" s="1"/>
  <c r="G19" i="2"/>
  <c r="H19" i="2" s="1"/>
  <c r="J19" i="2" s="1"/>
  <c r="G18" i="2"/>
  <c r="H18" i="2" s="1"/>
  <c r="J18" i="2" s="1"/>
  <c r="G17" i="2"/>
  <c r="H17" i="2" s="1"/>
  <c r="G16" i="2"/>
  <c r="H16" i="2" s="1"/>
  <c r="J16" i="2" s="1"/>
  <c r="G15" i="2"/>
  <c r="H15" i="2" s="1"/>
  <c r="J15" i="2" s="1"/>
  <c r="G14" i="2"/>
  <c r="H14" i="2" s="1"/>
  <c r="J14" i="2" s="1"/>
  <c r="G13" i="2"/>
  <c r="H13" i="2" s="1"/>
  <c r="G12" i="2"/>
  <c r="H12" i="2" s="1"/>
  <c r="J12" i="2" s="1"/>
  <c r="G11" i="2"/>
  <c r="H11" i="2" s="1"/>
  <c r="J11" i="2" s="1"/>
  <c r="G10" i="2"/>
  <c r="H10" i="2" s="1"/>
  <c r="J10" i="2" s="1"/>
  <c r="G9" i="2"/>
  <c r="H9" i="2" s="1"/>
  <c r="G8" i="2"/>
  <c r="H8" i="2" s="1"/>
  <c r="J8" i="2" s="1"/>
  <c r="G7" i="2"/>
  <c r="H7" i="2" s="1"/>
  <c r="J7" i="2" s="1"/>
  <c r="G6" i="2"/>
  <c r="H6" i="2" s="1"/>
  <c r="J6" i="2" s="1"/>
  <c r="G5" i="2"/>
  <c r="H5" i="2" s="1"/>
  <c r="K5" i="2" s="1"/>
  <c r="F28" i="15" l="1"/>
  <c r="F28" i="28" s="1"/>
  <c r="F28" i="1"/>
  <c r="F28" i="27" s="1"/>
  <c r="F43" i="15"/>
  <c r="F43" i="28" s="1"/>
  <c r="F43" i="1"/>
  <c r="F43" i="27" s="1"/>
  <c r="F12" i="15"/>
  <c r="F12" i="28" s="1"/>
  <c r="F12" i="1"/>
  <c r="F12" i="27" s="1"/>
  <c r="F34" i="15"/>
  <c r="F34" i="28" s="1"/>
  <c r="F34" i="1"/>
  <c r="F34" i="27" s="1"/>
  <c r="E55" i="28"/>
  <c r="F5" i="15"/>
  <c r="F5" i="28" s="1"/>
  <c r="F5" i="1"/>
  <c r="F39" i="15"/>
  <c r="F39" i="28" s="1"/>
  <c r="F39" i="1"/>
  <c r="F39" i="27" s="1"/>
  <c r="F8" i="15"/>
  <c r="F8" i="28" s="1"/>
  <c r="F8" i="1"/>
  <c r="F8" i="27" s="1"/>
  <c r="F30" i="15"/>
  <c r="F30" i="28" s="1"/>
  <c r="F30" i="1"/>
  <c r="F30" i="27" s="1"/>
  <c r="F36" i="15"/>
  <c r="F36" i="28" s="1"/>
  <c r="F36" i="1"/>
  <c r="F36" i="27" s="1"/>
  <c r="F20" i="15"/>
  <c r="F20" i="28" s="1"/>
  <c r="F20" i="1"/>
  <c r="F20" i="27" s="1"/>
  <c r="F51" i="15"/>
  <c r="F51" i="28" s="1"/>
  <c r="F51" i="1"/>
  <c r="F51" i="27" s="1"/>
  <c r="F35" i="15"/>
  <c r="F35" i="28" s="1"/>
  <c r="F35" i="1"/>
  <c r="F35" i="27" s="1"/>
  <c r="F19" i="15"/>
  <c r="F19" i="28" s="1"/>
  <c r="F19" i="1"/>
  <c r="F19" i="27" s="1"/>
  <c r="F42" i="15"/>
  <c r="F42" i="28" s="1"/>
  <c r="F42" i="1"/>
  <c r="F42" i="27" s="1"/>
  <c r="F26" i="15"/>
  <c r="F26" i="28" s="1"/>
  <c r="F26" i="1"/>
  <c r="F26" i="27" s="1"/>
  <c r="F11" i="15"/>
  <c r="F11" i="28" s="1"/>
  <c r="F11" i="1"/>
  <c r="F11" i="27" s="1"/>
  <c r="F44" i="15"/>
  <c r="F44" i="28" s="1"/>
  <c r="F44" i="1"/>
  <c r="F44" i="27" s="1"/>
  <c r="F9" i="15"/>
  <c r="F9" i="28" s="1"/>
  <c r="F9" i="1"/>
  <c r="F9" i="27" s="1"/>
  <c r="F27" i="15"/>
  <c r="F27" i="28" s="1"/>
  <c r="F27" i="1"/>
  <c r="F27" i="27" s="1"/>
  <c r="F50" i="15"/>
  <c r="F50" i="28" s="1"/>
  <c r="F50" i="1"/>
  <c r="F50" i="27" s="1"/>
  <c r="F18" i="15"/>
  <c r="F18" i="28" s="1"/>
  <c r="F18" i="1"/>
  <c r="F18" i="27" s="1"/>
  <c r="F40" i="15"/>
  <c r="F40" i="28" s="1"/>
  <c r="F40" i="1"/>
  <c r="F40" i="27" s="1"/>
  <c r="F24" i="15"/>
  <c r="F24" i="28" s="1"/>
  <c r="F24" i="1"/>
  <c r="F24" i="27" s="1"/>
  <c r="F23" i="15"/>
  <c r="F23" i="28" s="1"/>
  <c r="F23" i="1"/>
  <c r="F23" i="27" s="1"/>
  <c r="F46" i="15"/>
  <c r="F46" i="28" s="1"/>
  <c r="F46" i="1"/>
  <c r="F46" i="27" s="1"/>
  <c r="F14" i="15"/>
  <c r="F14" i="28" s="1"/>
  <c r="F14" i="1"/>
  <c r="F14" i="27" s="1"/>
  <c r="F48" i="15"/>
  <c r="F48" i="28" s="1"/>
  <c r="F48" i="1"/>
  <c r="F48" i="27" s="1"/>
  <c r="F32" i="15"/>
  <c r="F32" i="28" s="1"/>
  <c r="F32" i="1"/>
  <c r="F32" i="27" s="1"/>
  <c r="F16" i="15"/>
  <c r="F16" i="28" s="1"/>
  <c r="F16" i="1"/>
  <c r="F16" i="27" s="1"/>
  <c r="F47" i="15"/>
  <c r="F47" i="28" s="1"/>
  <c r="F47" i="1"/>
  <c r="F47" i="27" s="1"/>
  <c r="F31" i="15"/>
  <c r="F31" i="28" s="1"/>
  <c r="F31" i="1"/>
  <c r="F31" i="27" s="1"/>
  <c r="F15" i="15"/>
  <c r="F15" i="28" s="1"/>
  <c r="F15" i="1"/>
  <c r="F15" i="27" s="1"/>
  <c r="F54" i="15"/>
  <c r="F54" i="28" s="1"/>
  <c r="F54" i="1"/>
  <c r="F54" i="27" s="1"/>
  <c r="F38" i="15"/>
  <c r="F38" i="28" s="1"/>
  <c r="F38" i="1"/>
  <c r="F38" i="27" s="1"/>
  <c r="F22" i="15"/>
  <c r="F22" i="28" s="1"/>
  <c r="F22" i="1"/>
  <c r="F22" i="27" s="1"/>
  <c r="F7" i="15"/>
  <c r="F7" i="28" s="1"/>
  <c r="F7" i="1"/>
  <c r="F7" i="27" s="1"/>
  <c r="G4" i="6"/>
  <c r="F55" i="15" s="1"/>
  <c r="G10" i="4"/>
  <c r="H10" i="4" s="1"/>
  <c r="E10" i="1" s="1"/>
  <c r="E10" i="27" s="1"/>
  <c r="G16" i="4"/>
  <c r="H16" i="4" s="1"/>
  <c r="E16" i="1" s="1"/>
  <c r="E16" i="27" s="1"/>
  <c r="G24" i="4"/>
  <c r="H24" i="4" s="1"/>
  <c r="E24" i="1" s="1"/>
  <c r="E24" i="27" s="1"/>
  <c r="G32" i="4"/>
  <c r="H32" i="4" s="1"/>
  <c r="E32" i="1" s="1"/>
  <c r="E32" i="27" s="1"/>
  <c r="G40" i="4"/>
  <c r="H40" i="4" s="1"/>
  <c r="E40" i="1" s="1"/>
  <c r="E40" i="27" s="1"/>
  <c r="G48" i="4"/>
  <c r="H48" i="4" s="1"/>
  <c r="E48" i="1" s="1"/>
  <c r="E48" i="27" s="1"/>
  <c r="G5" i="4"/>
  <c r="H5" i="4" s="1"/>
  <c r="E5" i="1" s="1"/>
  <c r="E5" i="27" s="1"/>
  <c r="G9" i="4"/>
  <c r="H9" i="4" s="1"/>
  <c r="E9" i="1" s="1"/>
  <c r="E9" i="27" s="1"/>
  <c r="G15" i="4"/>
  <c r="H15" i="4" s="1"/>
  <c r="E15" i="1" s="1"/>
  <c r="E15" i="27" s="1"/>
  <c r="G19" i="4"/>
  <c r="H19" i="4" s="1"/>
  <c r="E19" i="1" s="1"/>
  <c r="E19" i="27" s="1"/>
  <c r="G23" i="4"/>
  <c r="H23" i="4" s="1"/>
  <c r="E23" i="1" s="1"/>
  <c r="E23" i="27" s="1"/>
  <c r="G27" i="4"/>
  <c r="H27" i="4" s="1"/>
  <c r="E27" i="1" s="1"/>
  <c r="E27" i="27" s="1"/>
  <c r="G31" i="4"/>
  <c r="H31" i="4" s="1"/>
  <c r="E31" i="1" s="1"/>
  <c r="E31" i="27" s="1"/>
  <c r="G35" i="4"/>
  <c r="H35" i="4" s="1"/>
  <c r="E35" i="1" s="1"/>
  <c r="E35" i="27" s="1"/>
  <c r="G39" i="4"/>
  <c r="H39" i="4" s="1"/>
  <c r="E39" i="1" s="1"/>
  <c r="E39" i="27" s="1"/>
  <c r="G43" i="4"/>
  <c r="H43" i="4" s="1"/>
  <c r="E43" i="1" s="1"/>
  <c r="E43" i="27" s="1"/>
  <c r="G47" i="4"/>
  <c r="H47" i="4" s="1"/>
  <c r="E47" i="1" s="1"/>
  <c r="E47" i="27" s="1"/>
  <c r="G51" i="4"/>
  <c r="H51" i="4" s="1"/>
  <c r="E51" i="1" s="1"/>
  <c r="E51" i="27" s="1"/>
  <c r="G55" i="4"/>
  <c r="G12" i="4"/>
  <c r="H12" i="4" s="1"/>
  <c r="E12" i="1" s="1"/>
  <c r="E12" i="27" s="1"/>
  <c r="G18" i="4"/>
  <c r="H18" i="4" s="1"/>
  <c r="E18" i="1" s="1"/>
  <c r="E18" i="27" s="1"/>
  <c r="G26" i="4"/>
  <c r="H26" i="4" s="1"/>
  <c r="E26" i="1" s="1"/>
  <c r="E26" i="27" s="1"/>
  <c r="G34" i="4"/>
  <c r="H34" i="4" s="1"/>
  <c r="E34" i="1" s="1"/>
  <c r="E34" i="27" s="1"/>
  <c r="G42" i="4"/>
  <c r="H42" i="4" s="1"/>
  <c r="E42" i="1" s="1"/>
  <c r="E42" i="27" s="1"/>
  <c r="G50" i="4"/>
  <c r="H50" i="4" s="1"/>
  <c r="E50" i="1" s="1"/>
  <c r="E50" i="27" s="1"/>
  <c r="G6" i="4"/>
  <c r="H6" i="4" s="1"/>
  <c r="E6" i="1" s="1"/>
  <c r="E6" i="27" s="1"/>
  <c r="G13" i="4"/>
  <c r="H13" i="4" s="1"/>
  <c r="E13" i="1" s="1"/>
  <c r="E13" i="27" s="1"/>
  <c r="G20" i="4"/>
  <c r="H20" i="4" s="1"/>
  <c r="E20" i="1" s="1"/>
  <c r="E20" i="27" s="1"/>
  <c r="G28" i="4"/>
  <c r="H28" i="4" s="1"/>
  <c r="E28" i="1" s="1"/>
  <c r="E28" i="27" s="1"/>
  <c r="G36" i="4"/>
  <c r="H36" i="4" s="1"/>
  <c r="E36" i="1" s="1"/>
  <c r="E36" i="27" s="1"/>
  <c r="G44" i="4"/>
  <c r="H44" i="4" s="1"/>
  <c r="E44" i="1" s="1"/>
  <c r="E44" i="27" s="1"/>
  <c r="G52" i="4"/>
  <c r="H52" i="4" s="1"/>
  <c r="E52" i="1" s="1"/>
  <c r="E52" i="27" s="1"/>
  <c r="G7" i="4"/>
  <c r="H7" i="4" s="1"/>
  <c r="E7" i="1" s="1"/>
  <c r="E7" i="27" s="1"/>
  <c r="G11" i="4"/>
  <c r="H11" i="4" s="1"/>
  <c r="E11" i="1" s="1"/>
  <c r="E11" i="27" s="1"/>
  <c r="G14" i="4"/>
  <c r="H14" i="4" s="1"/>
  <c r="E14" i="1" s="1"/>
  <c r="E14" i="27" s="1"/>
  <c r="G17" i="4"/>
  <c r="H17" i="4" s="1"/>
  <c r="E17" i="1" s="1"/>
  <c r="E17" i="27" s="1"/>
  <c r="G21" i="4"/>
  <c r="H21" i="4" s="1"/>
  <c r="E21" i="1" s="1"/>
  <c r="E21" i="27" s="1"/>
  <c r="G25" i="4"/>
  <c r="H25" i="4" s="1"/>
  <c r="E25" i="1" s="1"/>
  <c r="E25" i="27" s="1"/>
  <c r="G29" i="4"/>
  <c r="H29" i="4" s="1"/>
  <c r="E29" i="1" s="1"/>
  <c r="E29" i="27" s="1"/>
  <c r="G33" i="4"/>
  <c r="H33" i="4" s="1"/>
  <c r="E33" i="1" s="1"/>
  <c r="E33" i="27" s="1"/>
  <c r="G37" i="4"/>
  <c r="H37" i="4" s="1"/>
  <c r="E37" i="1" s="1"/>
  <c r="E37" i="27" s="1"/>
  <c r="G41" i="4"/>
  <c r="H41" i="4" s="1"/>
  <c r="E41" i="1" s="1"/>
  <c r="E41" i="27" s="1"/>
  <c r="G45" i="4"/>
  <c r="H45" i="4" s="1"/>
  <c r="E45" i="1" s="1"/>
  <c r="E45" i="27" s="1"/>
  <c r="G49" i="4"/>
  <c r="H49" i="4" s="1"/>
  <c r="E49" i="1" s="1"/>
  <c r="E49" i="27" s="1"/>
  <c r="G53" i="4"/>
  <c r="H53" i="4" s="1"/>
  <c r="E53" i="1" s="1"/>
  <c r="E53" i="27" s="1"/>
  <c r="G8" i="4"/>
  <c r="H8" i="4" s="1"/>
  <c r="E8" i="1" s="1"/>
  <c r="E8" i="27" s="1"/>
  <c r="G22" i="4"/>
  <c r="H22" i="4" s="1"/>
  <c r="E22" i="1" s="1"/>
  <c r="E22" i="27" s="1"/>
  <c r="G30" i="4"/>
  <c r="H30" i="4" s="1"/>
  <c r="E30" i="1" s="1"/>
  <c r="E30" i="27" s="1"/>
  <c r="G38" i="4"/>
  <c r="H38" i="4" s="1"/>
  <c r="E38" i="1" s="1"/>
  <c r="E38" i="27" s="1"/>
  <c r="G46" i="4"/>
  <c r="H46" i="4" s="1"/>
  <c r="E46" i="1" s="1"/>
  <c r="E46" i="27" s="1"/>
  <c r="G54" i="4"/>
  <c r="H54" i="4" s="1"/>
  <c r="E54" i="1" s="1"/>
  <c r="E54" i="27" s="1"/>
  <c r="L18" i="2"/>
  <c r="L34" i="2"/>
  <c r="L49" i="2"/>
  <c r="M15" i="2"/>
  <c r="M31" i="2"/>
  <c r="M47" i="2"/>
  <c r="L6" i="2"/>
  <c r="L22" i="2"/>
  <c r="L38" i="2"/>
  <c r="L53" i="2"/>
  <c r="M19" i="2"/>
  <c r="M35" i="2"/>
  <c r="M50" i="2"/>
  <c r="L10" i="2"/>
  <c r="L26" i="2"/>
  <c r="L42" i="2"/>
  <c r="M7" i="2"/>
  <c r="M23" i="2"/>
  <c r="M39" i="2"/>
  <c r="M54" i="2"/>
  <c r="L14" i="2"/>
  <c r="L30" i="2"/>
  <c r="L46" i="2"/>
  <c r="M11" i="2"/>
  <c r="M27" i="2"/>
  <c r="M43" i="2"/>
  <c r="J13" i="2"/>
  <c r="L13" i="2"/>
  <c r="M13" i="2"/>
  <c r="J21" i="2"/>
  <c r="L21" i="2"/>
  <c r="M21" i="2"/>
  <c r="J25" i="2"/>
  <c r="L25" i="2"/>
  <c r="M25" i="2"/>
  <c r="J33" i="2"/>
  <c r="L33" i="2"/>
  <c r="M33" i="2"/>
  <c r="J41" i="2"/>
  <c r="L41" i="2"/>
  <c r="M41" i="2"/>
  <c r="J52" i="2"/>
  <c r="L52" i="2"/>
  <c r="M52" i="2"/>
  <c r="K25" i="2"/>
  <c r="J5" i="2"/>
  <c r="L5" i="2"/>
  <c r="M5" i="2"/>
  <c r="J9" i="2"/>
  <c r="L9" i="2"/>
  <c r="M9" i="2"/>
  <c r="J17" i="2"/>
  <c r="L17" i="2"/>
  <c r="M17" i="2"/>
  <c r="J29" i="2"/>
  <c r="L29" i="2"/>
  <c r="M29" i="2"/>
  <c r="J37" i="2"/>
  <c r="L37" i="2"/>
  <c r="M37" i="2"/>
  <c r="J45" i="2"/>
  <c r="L45" i="2"/>
  <c r="M45" i="2"/>
  <c r="J48" i="2"/>
  <c r="L48" i="2"/>
  <c r="M48" i="2"/>
  <c r="K9" i="2"/>
  <c r="K41" i="2"/>
  <c r="K13" i="2"/>
  <c r="K29" i="2"/>
  <c r="K17" i="2"/>
  <c r="K33" i="2"/>
  <c r="K48" i="2"/>
  <c r="K6" i="2"/>
  <c r="S6" i="2" s="1"/>
  <c r="C6" i="1" s="1"/>
  <c r="K10" i="2"/>
  <c r="S10" i="2" s="1"/>
  <c r="C10" i="1" s="1"/>
  <c r="K14" i="2"/>
  <c r="K18" i="2"/>
  <c r="S18" i="2" s="1"/>
  <c r="C18" i="1" s="1"/>
  <c r="K22" i="2"/>
  <c r="K26" i="2"/>
  <c r="S26" i="2" s="1"/>
  <c r="C26" i="1" s="1"/>
  <c r="K30" i="2"/>
  <c r="S30" i="2" s="1"/>
  <c r="C30" i="1" s="1"/>
  <c r="K34" i="2"/>
  <c r="K38" i="2"/>
  <c r="S38" i="2" s="1"/>
  <c r="C38" i="1" s="1"/>
  <c r="K42" i="2"/>
  <c r="K46" i="2"/>
  <c r="S46" i="2" s="1"/>
  <c r="C46" i="1" s="1"/>
  <c r="K49" i="2"/>
  <c r="S49" i="2" s="1"/>
  <c r="C49" i="1" s="1"/>
  <c r="K53" i="2"/>
  <c r="S53" i="2" s="1"/>
  <c r="C53" i="1" s="1"/>
  <c r="L7" i="2"/>
  <c r="L11" i="2"/>
  <c r="L15" i="2"/>
  <c r="L19" i="2"/>
  <c r="L23" i="2"/>
  <c r="L27" i="2"/>
  <c r="L31" i="2"/>
  <c r="L35" i="2"/>
  <c r="L39" i="2"/>
  <c r="L43" i="2"/>
  <c r="L47" i="2"/>
  <c r="L50" i="2"/>
  <c r="L54" i="2"/>
  <c r="M8" i="2"/>
  <c r="M12" i="2"/>
  <c r="M16" i="2"/>
  <c r="M20" i="2"/>
  <c r="M24" i="2"/>
  <c r="M28" i="2"/>
  <c r="M32" i="2"/>
  <c r="M36" i="2"/>
  <c r="M40" i="2"/>
  <c r="M44" i="2"/>
  <c r="M51" i="2"/>
  <c r="K7" i="2"/>
  <c r="S7" i="2" s="1"/>
  <c r="C7" i="1" s="1"/>
  <c r="K11" i="2"/>
  <c r="S11" i="2" s="1"/>
  <c r="C11" i="1" s="1"/>
  <c r="K15" i="2"/>
  <c r="S15" i="2" s="1"/>
  <c r="C15" i="1" s="1"/>
  <c r="K19" i="2"/>
  <c r="S19" i="2" s="1"/>
  <c r="C19" i="1" s="1"/>
  <c r="K23" i="2"/>
  <c r="S23" i="2" s="1"/>
  <c r="C23" i="1" s="1"/>
  <c r="K27" i="2"/>
  <c r="S27" i="2" s="1"/>
  <c r="C27" i="1" s="1"/>
  <c r="K31" i="2"/>
  <c r="S31" i="2" s="1"/>
  <c r="C31" i="1" s="1"/>
  <c r="K35" i="2"/>
  <c r="S35" i="2" s="1"/>
  <c r="C35" i="1" s="1"/>
  <c r="K39" i="2"/>
  <c r="S39" i="2" s="1"/>
  <c r="C39" i="1" s="1"/>
  <c r="K43" i="2"/>
  <c r="S43" i="2" s="1"/>
  <c r="C43" i="1" s="1"/>
  <c r="K47" i="2"/>
  <c r="S47" i="2" s="1"/>
  <c r="C47" i="1" s="1"/>
  <c r="K50" i="2"/>
  <c r="S50" i="2" s="1"/>
  <c r="C50" i="1" s="1"/>
  <c r="K54" i="2"/>
  <c r="S54" i="2" s="1"/>
  <c r="C54" i="1" s="1"/>
  <c r="L8" i="2"/>
  <c r="L12" i="2"/>
  <c r="L16" i="2"/>
  <c r="L20" i="2"/>
  <c r="L24" i="2"/>
  <c r="L28" i="2"/>
  <c r="L32" i="2"/>
  <c r="L36" i="2"/>
  <c r="L40" i="2"/>
  <c r="L44" i="2"/>
  <c r="L51" i="2"/>
  <c r="K8" i="2"/>
  <c r="K12" i="2"/>
  <c r="S12" i="2" s="1"/>
  <c r="C12" i="1" s="1"/>
  <c r="K16" i="2"/>
  <c r="K20" i="2"/>
  <c r="S20" i="2" s="1"/>
  <c r="C20" i="1" s="1"/>
  <c r="K24" i="2"/>
  <c r="K28" i="2"/>
  <c r="S28" i="2" s="1"/>
  <c r="C28" i="1" s="1"/>
  <c r="K32" i="2"/>
  <c r="K36" i="2"/>
  <c r="K40" i="2"/>
  <c r="K44" i="2"/>
  <c r="S44" i="2" s="1"/>
  <c r="C44" i="1" s="1"/>
  <c r="K51" i="2"/>
  <c r="M6" i="2"/>
  <c r="M10" i="2"/>
  <c r="M14" i="2"/>
  <c r="M18" i="2"/>
  <c r="M22" i="2"/>
  <c r="M26" i="2"/>
  <c r="M30" i="2"/>
  <c r="M34" i="2"/>
  <c r="M38" i="2"/>
  <c r="M42" i="2"/>
  <c r="M46" i="2"/>
  <c r="M49" i="2"/>
  <c r="M53" i="2"/>
  <c r="S24" i="2" l="1"/>
  <c r="C24" i="1" s="1"/>
  <c r="S8" i="2"/>
  <c r="C8" i="1" s="1"/>
  <c r="S42" i="2"/>
  <c r="C42" i="1" s="1"/>
  <c r="S41" i="2"/>
  <c r="C41" i="1" s="1"/>
  <c r="C41" i="27" s="1"/>
  <c r="S40" i="2"/>
  <c r="C40" i="1" s="1"/>
  <c r="S36" i="2"/>
  <c r="C36" i="1" s="1"/>
  <c r="S22" i="2"/>
  <c r="C22" i="1" s="1"/>
  <c r="S37" i="2"/>
  <c r="C37" i="1" s="1"/>
  <c r="S5" i="2"/>
  <c r="C5" i="1" s="1"/>
  <c r="S52" i="2"/>
  <c r="C52" i="1" s="1"/>
  <c r="S21" i="2"/>
  <c r="C21" i="1" s="1"/>
  <c r="S34" i="2"/>
  <c r="C34" i="1" s="1"/>
  <c r="S51" i="2"/>
  <c r="C51" i="1" s="1"/>
  <c r="S32" i="2"/>
  <c r="C32" i="1" s="1"/>
  <c r="S16" i="2"/>
  <c r="C16" i="1" s="1"/>
  <c r="S14" i="2"/>
  <c r="C14" i="1" s="1"/>
  <c r="C44" i="27"/>
  <c r="C28" i="27"/>
  <c r="C30" i="27"/>
  <c r="C40" i="27"/>
  <c r="C8" i="27"/>
  <c r="C39" i="27"/>
  <c r="C7" i="27"/>
  <c r="C42" i="27"/>
  <c r="C36" i="27"/>
  <c r="C50" i="27"/>
  <c r="C35" i="27"/>
  <c r="C19" i="27"/>
  <c r="C53" i="27"/>
  <c r="C38" i="27"/>
  <c r="C6" i="27"/>
  <c r="C12" i="27"/>
  <c r="C46" i="27"/>
  <c r="C24" i="27"/>
  <c r="C54" i="27"/>
  <c r="C23" i="27"/>
  <c r="C10" i="27"/>
  <c r="C20" i="27"/>
  <c r="C51" i="27"/>
  <c r="C32" i="27"/>
  <c r="C49" i="27"/>
  <c r="C18" i="27"/>
  <c r="C14" i="27"/>
  <c r="N38" i="2"/>
  <c r="T38" i="2"/>
  <c r="N6" i="2"/>
  <c r="T6" i="2"/>
  <c r="N51" i="2"/>
  <c r="T51" i="2"/>
  <c r="C37" i="27"/>
  <c r="C5" i="27"/>
  <c r="C21" i="27"/>
  <c r="N23" i="2"/>
  <c r="T23" i="2"/>
  <c r="N47" i="2"/>
  <c r="T47" i="2"/>
  <c r="C31" i="27"/>
  <c r="N49" i="2"/>
  <c r="T49" i="2"/>
  <c r="N12" i="2"/>
  <c r="T12" i="2"/>
  <c r="S9" i="2"/>
  <c r="C9" i="1" s="1"/>
  <c r="N27" i="2"/>
  <c r="T27" i="2"/>
  <c r="C43" i="27"/>
  <c r="C27" i="27"/>
  <c r="C11" i="27"/>
  <c r="F5" i="27"/>
  <c r="F55" i="27" s="1"/>
  <c r="F55" i="1"/>
  <c r="N46" i="2"/>
  <c r="T46" i="2"/>
  <c r="N30" i="2"/>
  <c r="T30" i="2"/>
  <c r="N14" i="2"/>
  <c r="T14" i="2"/>
  <c r="N40" i="2"/>
  <c r="T40" i="2"/>
  <c r="N24" i="2"/>
  <c r="T24" i="2"/>
  <c r="N8" i="2"/>
  <c r="T8" i="2"/>
  <c r="S48" i="2"/>
  <c r="C48" i="1" s="1"/>
  <c r="N37" i="2"/>
  <c r="T37" i="2"/>
  <c r="S17" i="2"/>
  <c r="C17" i="1" s="1"/>
  <c r="N5" i="2"/>
  <c r="T5" i="2"/>
  <c r="N52" i="2"/>
  <c r="T52" i="2"/>
  <c r="S33" i="2"/>
  <c r="C33" i="1" s="1"/>
  <c r="N21" i="2"/>
  <c r="T21" i="2"/>
  <c r="N11" i="2"/>
  <c r="T11" i="2"/>
  <c r="N54" i="2"/>
  <c r="T54" i="2"/>
  <c r="N35" i="2"/>
  <c r="T35" i="2"/>
  <c r="N15" i="2"/>
  <c r="T15" i="2"/>
  <c r="E55" i="27"/>
  <c r="F55" i="28"/>
  <c r="N53" i="2"/>
  <c r="T53" i="2"/>
  <c r="N22" i="2"/>
  <c r="T22" i="2"/>
  <c r="N32" i="2"/>
  <c r="T32" i="2"/>
  <c r="N16" i="2"/>
  <c r="T16" i="2"/>
  <c r="N48" i="2"/>
  <c r="T48" i="2"/>
  <c r="N17" i="2"/>
  <c r="T17" i="2"/>
  <c r="C52" i="27"/>
  <c r="N33" i="2"/>
  <c r="T33" i="2"/>
  <c r="N43" i="2"/>
  <c r="T43" i="2"/>
  <c r="C47" i="27"/>
  <c r="C15" i="27"/>
  <c r="N34" i="2"/>
  <c r="T34" i="2"/>
  <c r="N18" i="2"/>
  <c r="T18" i="2"/>
  <c r="N44" i="2"/>
  <c r="T44" i="2"/>
  <c r="N28" i="2"/>
  <c r="T28" i="2"/>
  <c r="S45" i="2"/>
  <c r="C45" i="1" s="1"/>
  <c r="N29" i="2"/>
  <c r="T29" i="2"/>
  <c r="N41" i="2"/>
  <c r="T41" i="2"/>
  <c r="S25" i="2"/>
  <c r="C25" i="1" s="1"/>
  <c r="N13" i="2"/>
  <c r="T13" i="2"/>
  <c r="N7" i="2"/>
  <c r="T7" i="2"/>
  <c r="N50" i="2"/>
  <c r="T50" i="2"/>
  <c r="N31" i="2"/>
  <c r="T31" i="2"/>
  <c r="C26" i="27"/>
  <c r="N42" i="2"/>
  <c r="T42" i="2"/>
  <c r="N26" i="2"/>
  <c r="T26" i="2"/>
  <c r="N10" i="2"/>
  <c r="T10" i="2"/>
  <c r="N36" i="2"/>
  <c r="T36" i="2"/>
  <c r="N20" i="2"/>
  <c r="T20" i="2"/>
  <c r="N45" i="2"/>
  <c r="T45" i="2"/>
  <c r="S29" i="2"/>
  <c r="C29" i="1" s="1"/>
  <c r="N9" i="2"/>
  <c r="T9" i="2"/>
  <c r="N25" i="2"/>
  <c r="T25" i="2"/>
  <c r="S13" i="2"/>
  <c r="C13" i="1" s="1"/>
  <c r="N39" i="2"/>
  <c r="T39" i="2"/>
  <c r="N19" i="2"/>
  <c r="T19" i="2"/>
  <c r="H55" i="4"/>
  <c r="E55" i="1" s="1"/>
  <c r="E51" i="3"/>
  <c r="F51" i="3" s="1"/>
  <c r="E41" i="3"/>
  <c r="F41" i="3" s="1"/>
  <c r="E32" i="3"/>
  <c r="F32" i="3" s="1"/>
  <c r="E15" i="3"/>
  <c r="F15" i="3" s="1"/>
  <c r="E9" i="3"/>
  <c r="F9" i="3" s="1"/>
  <c r="E7" i="3"/>
  <c r="F7" i="3" s="1"/>
  <c r="E6" i="3"/>
  <c r="F6" i="3" s="1"/>
  <c r="E54" i="3"/>
  <c r="F54" i="3" s="1"/>
  <c r="E48" i="3"/>
  <c r="F48" i="3" s="1"/>
  <c r="E30" i="3"/>
  <c r="F30" i="3" s="1"/>
  <c r="E16" i="3"/>
  <c r="F16" i="3" s="1"/>
  <c r="E10" i="3"/>
  <c r="F10" i="3" s="1"/>
  <c r="E47" i="3"/>
  <c r="F47" i="3" s="1"/>
  <c r="E35" i="3"/>
  <c r="F35" i="3" s="1"/>
  <c r="E28" i="3"/>
  <c r="F28" i="3" s="1"/>
  <c r="E22" i="3"/>
  <c r="F22" i="3" s="1"/>
  <c r="E8" i="3"/>
  <c r="F8" i="3" s="1"/>
  <c r="E5" i="3"/>
  <c r="F5" i="3" s="1"/>
  <c r="E53" i="3"/>
  <c r="F53" i="3" s="1"/>
  <c r="E46" i="3"/>
  <c r="F46" i="3" s="1"/>
  <c r="E45" i="3"/>
  <c r="F45" i="3" s="1"/>
  <c r="E40" i="3"/>
  <c r="F40" i="3" s="1"/>
  <c r="E39" i="3"/>
  <c r="F39" i="3" s="1"/>
  <c r="E38" i="3"/>
  <c r="F38" i="3" s="1"/>
  <c r="E31" i="3"/>
  <c r="F31" i="3" s="1"/>
  <c r="E29" i="3"/>
  <c r="F29" i="3" s="1"/>
  <c r="E27" i="3"/>
  <c r="F27" i="3" s="1"/>
  <c r="E26" i="3"/>
  <c r="F26" i="3" s="1"/>
  <c r="E21" i="3"/>
  <c r="F21" i="3" s="1"/>
  <c r="E20" i="3"/>
  <c r="F20" i="3" s="1"/>
  <c r="E19" i="3"/>
  <c r="F19" i="3" s="1"/>
  <c r="E18" i="3"/>
  <c r="F18" i="3" s="1"/>
  <c r="E17" i="3"/>
  <c r="F17" i="3" s="1"/>
  <c r="E52" i="3"/>
  <c r="F52" i="3" s="1"/>
  <c r="E50" i="3"/>
  <c r="F50" i="3" s="1"/>
  <c r="E44" i="3"/>
  <c r="F44" i="3" s="1"/>
  <c r="E37" i="3"/>
  <c r="F37" i="3" s="1"/>
  <c r="E14" i="3"/>
  <c r="F14" i="3" s="1"/>
  <c r="E13" i="3"/>
  <c r="F13" i="3" s="1"/>
  <c r="E42" i="3"/>
  <c r="F42" i="3" s="1"/>
  <c r="E36" i="3"/>
  <c r="F36" i="3" s="1"/>
  <c r="E34" i="3"/>
  <c r="F34" i="3" s="1"/>
  <c r="E24" i="3"/>
  <c r="F24" i="3" s="1"/>
  <c r="E12" i="3"/>
  <c r="F12" i="3" s="1"/>
  <c r="E49" i="3"/>
  <c r="F49" i="3" s="1"/>
  <c r="E43" i="3"/>
  <c r="F43" i="3" s="1"/>
  <c r="E33" i="3"/>
  <c r="F33" i="3" s="1"/>
  <c r="E25" i="3"/>
  <c r="F25" i="3" s="1"/>
  <c r="E23" i="3"/>
  <c r="F23" i="3" s="1"/>
  <c r="E11" i="3"/>
  <c r="F11" i="3" s="1"/>
  <c r="E55" i="3"/>
  <c r="F55" i="3" s="1"/>
  <c r="C16" i="27" l="1"/>
  <c r="C34" i="27"/>
  <c r="C22" i="27"/>
  <c r="G36" i="3"/>
  <c r="D36" i="1" s="1"/>
  <c r="H36" i="3"/>
  <c r="D36" i="15" s="1"/>
  <c r="G17" i="3"/>
  <c r="D17" i="1" s="1"/>
  <c r="H17" i="3"/>
  <c r="D17" i="15" s="1"/>
  <c r="H31" i="3"/>
  <c r="D31" i="15" s="1"/>
  <c r="G31" i="3"/>
  <c r="D31" i="1" s="1"/>
  <c r="G8" i="3"/>
  <c r="D8" i="1" s="1"/>
  <c r="H8" i="3"/>
  <c r="D8" i="15" s="1"/>
  <c r="G48" i="3"/>
  <c r="D48" i="1" s="1"/>
  <c r="J48" i="1" s="1"/>
  <c r="J48" i="27" s="1"/>
  <c r="H48" i="3"/>
  <c r="D48" i="15" s="1"/>
  <c r="H51" i="3"/>
  <c r="D51" i="15" s="1"/>
  <c r="G51" i="3"/>
  <c r="D51" i="1" s="1"/>
  <c r="G12" i="3"/>
  <c r="D12" i="1" s="1"/>
  <c r="H12" i="3"/>
  <c r="D12" i="15" s="1"/>
  <c r="G44" i="3"/>
  <c r="D44" i="1" s="1"/>
  <c r="H44" i="3"/>
  <c r="D44" i="15" s="1"/>
  <c r="G38" i="3"/>
  <c r="D38" i="1" s="1"/>
  <c r="H38" i="3"/>
  <c r="D38" i="15" s="1"/>
  <c r="G22" i="3"/>
  <c r="D22" i="1" s="1"/>
  <c r="H22" i="3"/>
  <c r="D22" i="15" s="1"/>
  <c r="G10" i="3"/>
  <c r="D10" i="1" s="1"/>
  <c r="H10" i="3"/>
  <c r="D10" i="15" s="1"/>
  <c r="H15" i="3"/>
  <c r="D15" i="15" s="1"/>
  <c r="G15" i="3"/>
  <c r="D15" i="1" s="1"/>
  <c r="C33" i="27"/>
  <c r="J33" i="1"/>
  <c r="J33" i="27" s="1"/>
  <c r="H55" i="3"/>
  <c r="D55" i="15" s="1"/>
  <c r="J56" i="15" s="1"/>
  <c r="G55" i="3"/>
  <c r="D55" i="1" s="1"/>
  <c r="G33" i="3"/>
  <c r="D33" i="1" s="1"/>
  <c r="H33" i="3"/>
  <c r="D33" i="15" s="1"/>
  <c r="G24" i="3"/>
  <c r="D24" i="1" s="1"/>
  <c r="H24" i="3"/>
  <c r="D24" i="15" s="1"/>
  <c r="G13" i="3"/>
  <c r="D13" i="1" s="1"/>
  <c r="H13" i="3"/>
  <c r="D13" i="15" s="1"/>
  <c r="G50" i="3"/>
  <c r="D50" i="1" s="1"/>
  <c r="H50" i="3"/>
  <c r="D50" i="15" s="1"/>
  <c r="H19" i="3"/>
  <c r="D19" i="15" s="1"/>
  <c r="G19" i="3"/>
  <c r="D19" i="1" s="1"/>
  <c r="H27" i="3"/>
  <c r="D27" i="15" s="1"/>
  <c r="G27" i="3"/>
  <c r="D27" i="1" s="1"/>
  <c r="H39" i="3"/>
  <c r="D39" i="15" s="1"/>
  <c r="G39" i="3"/>
  <c r="D39" i="1" s="1"/>
  <c r="G53" i="3"/>
  <c r="D53" i="1" s="1"/>
  <c r="H53" i="3"/>
  <c r="D53" i="15" s="1"/>
  <c r="G28" i="3"/>
  <c r="D28" i="1" s="1"/>
  <c r="H28" i="3"/>
  <c r="D28" i="15" s="1"/>
  <c r="G16" i="3"/>
  <c r="D16" i="1" s="1"/>
  <c r="H16" i="3"/>
  <c r="D16" i="15" s="1"/>
  <c r="G6" i="3"/>
  <c r="D6" i="1" s="1"/>
  <c r="H6" i="3"/>
  <c r="D6" i="15" s="1"/>
  <c r="G32" i="3"/>
  <c r="D32" i="1" s="1"/>
  <c r="H32" i="3"/>
  <c r="D32" i="15" s="1"/>
  <c r="C13" i="27"/>
  <c r="J13" i="1"/>
  <c r="J13" i="27" s="1"/>
  <c r="C29" i="27"/>
  <c r="C25" i="27"/>
  <c r="C17" i="27"/>
  <c r="J17" i="1"/>
  <c r="J17" i="27" s="1"/>
  <c r="H23" i="3"/>
  <c r="D23" i="15" s="1"/>
  <c r="G23" i="3"/>
  <c r="D23" i="1" s="1"/>
  <c r="G49" i="3"/>
  <c r="D49" i="1" s="1"/>
  <c r="H49" i="3"/>
  <c r="D49" i="15" s="1"/>
  <c r="G37" i="3"/>
  <c r="D37" i="1" s="1"/>
  <c r="H37" i="3"/>
  <c r="D37" i="15" s="1"/>
  <c r="G21" i="3"/>
  <c r="D21" i="1" s="1"/>
  <c r="H21" i="3"/>
  <c r="D21" i="15" s="1"/>
  <c r="G45" i="3"/>
  <c r="D45" i="1" s="1"/>
  <c r="H45" i="3"/>
  <c r="D45" i="15" s="1"/>
  <c r="H47" i="3"/>
  <c r="D47" i="15" s="1"/>
  <c r="G47" i="3"/>
  <c r="D47" i="1" s="1"/>
  <c r="G9" i="3"/>
  <c r="D9" i="1" s="1"/>
  <c r="H9" i="3"/>
  <c r="D9" i="15" s="1"/>
  <c r="G25" i="3"/>
  <c r="D25" i="1" s="1"/>
  <c r="H25" i="3"/>
  <c r="D25" i="15" s="1"/>
  <c r="G42" i="3"/>
  <c r="D42" i="1" s="1"/>
  <c r="H42" i="3"/>
  <c r="D42" i="15" s="1"/>
  <c r="G18" i="3"/>
  <c r="D18" i="1" s="1"/>
  <c r="H18" i="3"/>
  <c r="D18" i="15" s="1"/>
  <c r="G26" i="3"/>
  <c r="D26" i="1" s="1"/>
  <c r="H26" i="3"/>
  <c r="D26" i="15" s="1"/>
  <c r="G46" i="3"/>
  <c r="D46" i="1" s="1"/>
  <c r="H46" i="3"/>
  <c r="D46" i="15" s="1"/>
  <c r="G54" i="3"/>
  <c r="D54" i="1" s="1"/>
  <c r="H54" i="3"/>
  <c r="D54" i="15" s="1"/>
  <c r="C48" i="27"/>
  <c r="H11" i="3"/>
  <c r="D11" i="15" s="1"/>
  <c r="G11" i="3"/>
  <c r="D11" i="1" s="1"/>
  <c r="H43" i="3"/>
  <c r="D43" i="15" s="1"/>
  <c r="G43" i="3"/>
  <c r="D43" i="1" s="1"/>
  <c r="G34" i="3"/>
  <c r="D34" i="1" s="1"/>
  <c r="H34" i="3"/>
  <c r="D34" i="15" s="1"/>
  <c r="G14" i="3"/>
  <c r="D14" i="1" s="1"/>
  <c r="H14" i="3"/>
  <c r="D14" i="15" s="1"/>
  <c r="G52" i="3"/>
  <c r="D52" i="1" s="1"/>
  <c r="H52" i="3"/>
  <c r="D52" i="15" s="1"/>
  <c r="G20" i="3"/>
  <c r="D20" i="1" s="1"/>
  <c r="H20" i="3"/>
  <c r="D20" i="15" s="1"/>
  <c r="G29" i="3"/>
  <c r="D29" i="1" s="1"/>
  <c r="H29" i="3"/>
  <c r="D29" i="15" s="1"/>
  <c r="G40" i="3"/>
  <c r="D40" i="1" s="1"/>
  <c r="H40" i="3"/>
  <c r="D40" i="15" s="1"/>
  <c r="G5" i="3"/>
  <c r="D5" i="1" s="1"/>
  <c r="H5" i="3"/>
  <c r="D5" i="15" s="1"/>
  <c r="H35" i="3"/>
  <c r="D35" i="15" s="1"/>
  <c r="G35" i="3"/>
  <c r="D35" i="1" s="1"/>
  <c r="G30" i="3"/>
  <c r="D30" i="1" s="1"/>
  <c r="H30" i="3"/>
  <c r="D30" i="15" s="1"/>
  <c r="H7" i="3"/>
  <c r="D7" i="15" s="1"/>
  <c r="G7" i="3"/>
  <c r="D7" i="1" s="1"/>
  <c r="G41" i="3"/>
  <c r="D41" i="1" s="1"/>
  <c r="H41" i="3"/>
  <c r="D41" i="15" s="1"/>
  <c r="C45" i="27"/>
  <c r="J45" i="1"/>
  <c r="J45" i="27" s="1"/>
  <c r="C9" i="27"/>
  <c r="J9" i="1"/>
  <c r="J9" i="27" s="1"/>
  <c r="C55" i="27" l="1"/>
  <c r="D7" i="28"/>
  <c r="J7" i="15"/>
  <c r="J7" i="28" s="1"/>
  <c r="D35" i="28"/>
  <c r="J35" i="15"/>
  <c r="J35" i="28" s="1"/>
  <c r="D20" i="27"/>
  <c r="J20" i="1"/>
  <c r="J20" i="27" s="1"/>
  <c r="D43" i="28"/>
  <c r="J43" i="15"/>
  <c r="J43" i="28" s="1"/>
  <c r="D46" i="28"/>
  <c r="J46" i="15"/>
  <c r="J46" i="28" s="1"/>
  <c r="D25" i="28"/>
  <c r="J25" i="15"/>
  <c r="J25" i="28" s="1"/>
  <c r="D21" i="28"/>
  <c r="J21" i="15"/>
  <c r="J21" i="28" s="1"/>
  <c r="D32" i="27"/>
  <c r="J32" i="1"/>
  <c r="J32" i="27" s="1"/>
  <c r="D53" i="27"/>
  <c r="J53" i="1"/>
  <c r="J53" i="27" s="1"/>
  <c r="D27" i="28"/>
  <c r="J27" i="15"/>
  <c r="J27" i="28" s="1"/>
  <c r="D24" i="27"/>
  <c r="J24" i="1"/>
  <c r="J24" i="27" s="1"/>
  <c r="D15" i="27"/>
  <c r="J15" i="1"/>
  <c r="J15" i="27" s="1"/>
  <c r="D51" i="27"/>
  <c r="J51" i="1"/>
  <c r="J51" i="27" s="1"/>
  <c r="D8" i="28"/>
  <c r="J8" i="15"/>
  <c r="J8" i="28" s="1"/>
  <c r="D30" i="28"/>
  <c r="J30" i="15"/>
  <c r="J30" i="28" s="1"/>
  <c r="D29" i="28"/>
  <c r="J29" i="15"/>
  <c r="J29" i="28" s="1"/>
  <c r="D34" i="28"/>
  <c r="J34" i="15"/>
  <c r="J34" i="28" s="1"/>
  <c r="D46" i="27"/>
  <c r="J46" i="1"/>
  <c r="J46" i="27" s="1"/>
  <c r="D25" i="27"/>
  <c r="D47" i="28"/>
  <c r="J47" i="15"/>
  <c r="J47" i="28" s="1"/>
  <c r="D49" i="27"/>
  <c r="J49" i="1"/>
  <c r="J49" i="27" s="1"/>
  <c r="D6" i="28"/>
  <c r="J6" i="15"/>
  <c r="J6" i="28" s="1"/>
  <c r="D28" i="28"/>
  <c r="J28" i="15"/>
  <c r="J28" i="28" s="1"/>
  <c r="D19" i="27"/>
  <c r="J19" i="1"/>
  <c r="J19" i="27" s="1"/>
  <c r="D13" i="28"/>
  <c r="J13" i="15"/>
  <c r="J13" i="28" s="1"/>
  <c r="D15" i="28"/>
  <c r="J15" i="15"/>
  <c r="J15" i="28" s="1"/>
  <c r="D22" i="27"/>
  <c r="J22" i="1"/>
  <c r="J22" i="27" s="1"/>
  <c r="D44" i="27"/>
  <c r="J44" i="1"/>
  <c r="J44" i="27" s="1"/>
  <c r="D51" i="28"/>
  <c r="J51" i="15"/>
  <c r="J51" i="28" s="1"/>
  <c r="D8" i="27"/>
  <c r="J8" i="1"/>
  <c r="J8" i="27" s="1"/>
  <c r="D17" i="27"/>
  <c r="D41" i="27"/>
  <c r="J41" i="1"/>
  <c r="J41" i="27" s="1"/>
  <c r="D30" i="27"/>
  <c r="J30" i="1"/>
  <c r="J30" i="27" s="1"/>
  <c r="D5" i="27"/>
  <c r="J5" i="1"/>
  <c r="D29" i="27"/>
  <c r="D52" i="27"/>
  <c r="J52" i="1"/>
  <c r="J52" i="27" s="1"/>
  <c r="D34" i="27"/>
  <c r="J34" i="1"/>
  <c r="J34" i="27" s="1"/>
  <c r="D11" i="28"/>
  <c r="J11" i="15"/>
  <c r="J11" i="28" s="1"/>
  <c r="D54" i="28"/>
  <c r="J54" i="15"/>
  <c r="J54" i="28" s="1"/>
  <c r="D26" i="28"/>
  <c r="J26" i="15"/>
  <c r="J26" i="28" s="1"/>
  <c r="D42" i="28"/>
  <c r="J42" i="15"/>
  <c r="J42" i="28" s="1"/>
  <c r="D9" i="28"/>
  <c r="J9" i="15"/>
  <c r="J9" i="28" s="1"/>
  <c r="D45" i="28"/>
  <c r="J45" i="15"/>
  <c r="J45" i="28" s="1"/>
  <c r="D37" i="28"/>
  <c r="J37" i="15"/>
  <c r="J37" i="28" s="1"/>
  <c r="D23" i="27"/>
  <c r="J23" i="1"/>
  <c r="J23" i="27" s="1"/>
  <c r="J29" i="1"/>
  <c r="J29" i="27" s="1"/>
  <c r="D6" i="27"/>
  <c r="J6" i="1"/>
  <c r="J6" i="27" s="1"/>
  <c r="D28" i="27"/>
  <c r="J28" i="1"/>
  <c r="J28" i="27" s="1"/>
  <c r="D39" i="28"/>
  <c r="J39" i="15"/>
  <c r="J39" i="28" s="1"/>
  <c r="D19" i="28"/>
  <c r="J19" i="15"/>
  <c r="J19" i="28" s="1"/>
  <c r="D13" i="27"/>
  <c r="D33" i="27"/>
  <c r="D10" i="28"/>
  <c r="J10" i="15"/>
  <c r="J10" i="28" s="1"/>
  <c r="D38" i="28"/>
  <c r="J38" i="15"/>
  <c r="J38" i="28" s="1"/>
  <c r="D12" i="28"/>
  <c r="J12" i="15"/>
  <c r="J12" i="28" s="1"/>
  <c r="D48" i="28"/>
  <c r="J48" i="15"/>
  <c r="J48" i="28" s="1"/>
  <c r="D31" i="27"/>
  <c r="J31" i="1"/>
  <c r="J31" i="27" s="1"/>
  <c r="D36" i="28"/>
  <c r="J36" i="15"/>
  <c r="J36" i="28" s="1"/>
  <c r="D40" i="27"/>
  <c r="J40" i="1"/>
  <c r="J40" i="27" s="1"/>
  <c r="D14" i="27"/>
  <c r="J14" i="1"/>
  <c r="J14" i="27" s="1"/>
  <c r="D18" i="28"/>
  <c r="J18" i="15"/>
  <c r="J18" i="28" s="1"/>
  <c r="D47" i="27"/>
  <c r="J47" i="1"/>
  <c r="J47" i="27" s="1"/>
  <c r="D49" i="28"/>
  <c r="J49" i="15"/>
  <c r="J49" i="28" s="1"/>
  <c r="D16" i="27"/>
  <c r="J16" i="1"/>
  <c r="J16" i="27" s="1"/>
  <c r="D50" i="27"/>
  <c r="J50" i="1"/>
  <c r="J50" i="27" s="1"/>
  <c r="D22" i="28"/>
  <c r="J22" i="15"/>
  <c r="J22" i="28" s="1"/>
  <c r="D44" i="28"/>
  <c r="J44" i="15"/>
  <c r="J44" i="28" s="1"/>
  <c r="D17" i="28"/>
  <c r="J17" i="15"/>
  <c r="J17" i="28" s="1"/>
  <c r="D41" i="28"/>
  <c r="J41" i="15"/>
  <c r="J41" i="28" s="1"/>
  <c r="D5" i="28"/>
  <c r="J5" i="15"/>
  <c r="D52" i="28"/>
  <c r="J52" i="15"/>
  <c r="J52" i="28" s="1"/>
  <c r="D11" i="27"/>
  <c r="J11" i="1"/>
  <c r="J11" i="27" s="1"/>
  <c r="D18" i="27"/>
  <c r="J18" i="1"/>
  <c r="J18" i="27" s="1"/>
  <c r="D21" i="27"/>
  <c r="J21" i="1"/>
  <c r="J21" i="27" s="1"/>
  <c r="D39" i="27"/>
  <c r="J39" i="1"/>
  <c r="J39" i="27" s="1"/>
  <c r="D33" i="28"/>
  <c r="J33" i="15"/>
  <c r="J33" i="28" s="1"/>
  <c r="D7" i="27"/>
  <c r="J7" i="1"/>
  <c r="J7" i="27" s="1"/>
  <c r="D35" i="27"/>
  <c r="J35" i="1"/>
  <c r="J35" i="27" s="1"/>
  <c r="D40" i="28"/>
  <c r="J40" i="15"/>
  <c r="J40" i="28" s="1"/>
  <c r="D20" i="28"/>
  <c r="J20" i="15"/>
  <c r="J20" i="28" s="1"/>
  <c r="D14" i="28"/>
  <c r="J14" i="15"/>
  <c r="J14" i="28" s="1"/>
  <c r="D43" i="27"/>
  <c r="J43" i="1"/>
  <c r="J43" i="27" s="1"/>
  <c r="D54" i="27"/>
  <c r="J54" i="1"/>
  <c r="J54" i="27" s="1"/>
  <c r="D26" i="27"/>
  <c r="J26" i="1"/>
  <c r="J26" i="27" s="1"/>
  <c r="D42" i="27"/>
  <c r="J42" i="1"/>
  <c r="J42" i="27" s="1"/>
  <c r="D9" i="27"/>
  <c r="D45" i="27"/>
  <c r="D37" i="27"/>
  <c r="J37" i="1"/>
  <c r="J37" i="27" s="1"/>
  <c r="D23" i="28"/>
  <c r="J23" i="15"/>
  <c r="J23" i="28" s="1"/>
  <c r="J25" i="1"/>
  <c r="J25" i="27" s="1"/>
  <c r="D32" i="28"/>
  <c r="J32" i="15"/>
  <c r="J32" i="28" s="1"/>
  <c r="D16" i="28"/>
  <c r="J16" i="15"/>
  <c r="J16" i="28" s="1"/>
  <c r="D53" i="28"/>
  <c r="J53" i="15"/>
  <c r="J53" i="28" s="1"/>
  <c r="D27" i="27"/>
  <c r="J27" i="1"/>
  <c r="J27" i="27" s="1"/>
  <c r="D50" i="28"/>
  <c r="J50" i="15"/>
  <c r="J50" i="28" s="1"/>
  <c r="D24" i="28"/>
  <c r="J24" i="15"/>
  <c r="J24" i="28" s="1"/>
  <c r="D10" i="27"/>
  <c r="J10" i="1"/>
  <c r="J10" i="27" s="1"/>
  <c r="D38" i="27"/>
  <c r="J38" i="1"/>
  <c r="J38" i="27" s="1"/>
  <c r="D12" i="27"/>
  <c r="J12" i="1"/>
  <c r="J12" i="27" s="1"/>
  <c r="D48" i="27"/>
  <c r="D31" i="28"/>
  <c r="J31" i="15"/>
  <c r="J31" i="28" s="1"/>
  <c r="D36" i="27"/>
  <c r="J36" i="1"/>
  <c r="J36" i="27" s="1"/>
  <c r="D55" i="27" l="1"/>
  <c r="D55" i="28"/>
  <c r="J5" i="27"/>
  <c r="J55" i="27" s="1"/>
  <c r="J55" i="1"/>
  <c r="J5" i="28"/>
  <c r="J55" i="28" s="1"/>
  <c r="J55"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C08F0C5-EDA4-4C4F-9E31-C3B8D226CFCD}"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8D9AFE0F-4571-4631-B79B-AF1AA9B64DB9}" name="WorksheetConnection_Master Summary Dispatchable!$C$4:$H$54" type="102" refreshedVersion="6" minRefreshableVersion="5">
    <extLst>
      <ext xmlns:x15="http://schemas.microsoft.com/office/spreadsheetml/2010/11/main" uri="{DE250136-89BD-433C-8126-D09CA5730AF9}">
        <x15:connection id="Range" autoDelete="1">
          <x15:rangePr sourceName="_xlcn.WorksheetConnection_MasterSummaryDispatchableC4H54"/>
        </x15:connection>
      </ext>
    </extLst>
  </connection>
</connections>
</file>

<file path=xl/sharedStrings.xml><?xml version="1.0" encoding="utf-8"?>
<sst xmlns="http://schemas.openxmlformats.org/spreadsheetml/2006/main" count="1377" uniqueCount="568">
  <si>
    <t>Table 2.8. Sales of Electricity to Ultimate Customers by End-Use Sector,</t>
  </si>
  <si>
    <t/>
  </si>
  <si>
    <t>Residential</t>
  </si>
  <si>
    <t>Commercial</t>
  </si>
  <si>
    <t>Industrial</t>
  </si>
  <si>
    <t>Transportation</t>
  </si>
  <si>
    <t>All Sectors</t>
  </si>
  <si>
    <t>Census Division
and State</t>
  </si>
  <si>
    <t>Year 2017</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</si>
  <si>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</si>
  <si>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</si>
  <si>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</si>
  <si>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</si>
  <si>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</si>
  <si>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</si>
  <si>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</si>
  <si>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</si>
  <si>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</si>
  <si>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</si>
  <si>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</si>
  <si>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</si>
  <si>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</si>
  <si>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</si>
  <si>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</si>
  <si>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</si>
  <si>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</si>
  <si>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</si>
  <si>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</si>
  <si>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</si>
  <si>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</si>
  <si>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</si>
  <si>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</si>
  <si>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</si>
  <si>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</si>
  <si>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</si>
  <si>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</si>
  <si>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</si>
  <si>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</si>
  <si>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</si>
  <si>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</si>
  <si>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</si>
  <si>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</si>
  <si>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</si>
  <si>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</si>
  <si>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</si>
  <si>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</si>
  <si>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</si>
  <si>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</si>
  <si>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</si>
  <si>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</si>
  <si>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</si>
  <si>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</si>
  <si>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U.S. Total</t>
  </si>
  <si>
    <t>Utah</t>
  </si>
  <si>
    <t>Vermont</t>
  </si>
  <si>
    <t>Virginia</t>
  </si>
  <si>
    <t>Washington</t>
  </si>
  <si>
    <t>West Virginia</t>
  </si>
  <si>
    <t>Wisconsin</t>
  </si>
  <si>
    <t>Wyoming</t>
  </si>
  <si>
    <t>See Technical notes for additional information on the Commercial, Industrial, and Transportation sectors.
Displayed values of zero may represent small values that round to zero.  The Excel version of this table provides additional precision which may be accessed by selecting individual cells.
Notes: - See Glossary for definitions. - Values are final.
See Technical Notes for a discussion of the sample design for the Form EIA-826.
Utilities and energy service providers may classify commercial and industrial customers based on either NAICS codes or demands or usage falling within specified limits by rate schedule.
Changes from year to year in consumer counts, sales and revenues, particularly involving the commercial and industrial consumer sectors, may result from respondent implementation of changes in the definitions of consumers, and reclassifications.
Totals may not equal sum of components because of independent rounding.
Source: U.S. Energy Information Administration, Form EIA-861, Annual Electric Power Industry Report.</t>
  </si>
  <si>
    <t>U.S. Total Gasoline All Sales/Deliveries by Prime Supplier (Thousand Gallons per Day)</t>
  </si>
  <si>
    <t>Connecticut Total Gasoline All Sales/Deliveries by Prime Supplier (Thousand Gallons per Day)</t>
  </si>
  <si>
    <t>Maine Total Gasoline All Sales/Deliveries by Prime Supplier (Thousand Gallons per Day)</t>
  </si>
  <si>
    <t>Massachusetts Total Gasoline All Sales/Deliveries by Prime Supplier (Thousand Gallons per Day)</t>
  </si>
  <si>
    <t>New Hampshire Total Gasoline All Sales/Deliveries by Prime Supplier (Thousand Gallons per Day)</t>
  </si>
  <si>
    <t>Rhode Island Total Gasoline All Sales/Deliveries by Prime Supplier (Thousand Gallons per Day)</t>
  </si>
  <si>
    <t>Vermont Total Gasoline All Sales/Deliveries by Prime Supplier (Thousand Gallons per Day)</t>
  </si>
  <si>
    <t>Delaware Total Gasoline All Sales/Deliveries by Prime Supplier (Thousand Gallons per Day)</t>
  </si>
  <si>
    <t>Maryland Total Gasoline All Sales/Deliveries by Prime Supplier (Thousand Gallons per Day)</t>
  </si>
  <si>
    <t>New Jersey Total Gasoline All Sales/Deliveries by Prime Supplier (Thousand Gallons per Day)</t>
  </si>
  <si>
    <t>New York Total Gasoline All Sales/Deliveries by Prime Supplier (Thousand Gallons per Day)</t>
  </si>
  <si>
    <t>Pennsylvania Total Gasoline All Sales/Deliveries by Prime Supplier (Thousand Gallons per Day)</t>
  </si>
  <si>
    <t>Florida Total Gasoline All Sales/Deliveries by Prime Supplier (Thousand Gallons per Day)</t>
  </si>
  <si>
    <t>Georgia Total Gasoline All Sales/Deliveries by Prime Supplier (Thousand Gallons per Day)</t>
  </si>
  <si>
    <t>North Carolina Total Gasoline All Sales/Deliveries by Prime Supplier (Thousand Gallons per Day)</t>
  </si>
  <si>
    <t>South Carolina Total Gasoline All Sales/Deliveries by Prime Supplier (Thousand Gallons per Day)</t>
  </si>
  <si>
    <t>Virginia Total Gasoline All Sales/Deliveries by Prime Supplier (Thousand Gallons per Day)</t>
  </si>
  <si>
    <t>West Virginia Total Gasoline All Sales/Deliveries by Prime Supplier (Thousand Gallons per Day)</t>
  </si>
  <si>
    <t>Illinois Total Gasoline All Sales/Deliveries by Prime Supplier (Thousand Gallons per Day)</t>
  </si>
  <si>
    <t>Indiana Total Gasoline All Sales/Deliveries by Prime Supplier (Thousand Gallons per Day)</t>
  </si>
  <si>
    <t>Iowa Total Gasoline All Sales/Deliveries by Prime Supplier (Thousand Gallons per Day)</t>
  </si>
  <si>
    <t>Kansas Total Gasoline All Sales/Deliveries by Prime Supplier (Thousand Gallons per Day)</t>
  </si>
  <si>
    <t>Kentucky Total Gasoline All Sales/Deliveries by Prime Supplier (Thousand Gallons per Day)</t>
  </si>
  <si>
    <t>Michigan Total Gasoline All Sales/Deliveries by Prime Supplier (Thousand Gallons per Day)</t>
  </si>
  <si>
    <t>Minnesota Total Gasoline All Sales/Deliveries by Prime Supplier (Thousand Gallons per Day)</t>
  </si>
  <si>
    <t>Missouri Total Gasoline All Sales/Deliveries by Prime Supplier (Thousand Gallons per Day)</t>
  </si>
  <si>
    <t>Nebraska Total Gasoline All Sales/Deliveries by Prime Supplier (Thousand Gallons per Day)</t>
  </si>
  <si>
    <t>North Dakota Total Gasoline All Sales/Deliveries by Prime Supplier (Thousand Gallons per Day)</t>
  </si>
  <si>
    <t>Ohio Total Gasoline All Sales/Deliveries by Prime Supplier (Thousand Gallons per Day)</t>
  </si>
  <si>
    <t>Oklahoma Total Gasoline All Sales/Deliveries by Prime Supplier (Thousand Gallons per Day)</t>
  </si>
  <si>
    <t>South Dakota Total Gasoline All Sales/Deliveries by Prime Supplier (Thousand Gallons per Day)</t>
  </si>
  <si>
    <t>Tennessee Total Gasoline All Sales/Deliveries by Prime Supplier (Thousand Gallons per Day)</t>
  </si>
  <si>
    <t>Wisconsin Total Gasoline All Sales/Deliveries by Prime Supplier (Thousand Gallons per Day)</t>
  </si>
  <si>
    <t>Alabama Total Gasoline All Sales/Deliveries by Prime Supplier (Thousand Gallons per Day)</t>
  </si>
  <si>
    <t>Arkansas Total Gasoline All Sales/Deliveries by Prime Supplier (Thousand Gallons per Day)</t>
  </si>
  <si>
    <t>Louisiana Total Gasoline All Sales/Deliveries by Prime Supplier (Thousand Gallons per Day)</t>
  </si>
  <si>
    <t>Mississippi Total Gasoline All Sales/Deliveries by Prime Supplier (Thousand Gallons per Day)</t>
  </si>
  <si>
    <t>New Mexico Total Gasoline All Sales/Deliveries by Prime Supplier (Thousand Gallons per Day)</t>
  </si>
  <si>
    <t>Texas Total Gasoline All Sales/Deliveries by Prime Supplier (Thousand Gallons per Day)</t>
  </si>
  <si>
    <t>Colorado Total Gasoline All Sales/Deliveries by Prime Supplier (Thousand Gallons per Day)</t>
  </si>
  <si>
    <t>Idaho Total Gasoline All Sales/Deliveries by Prime Supplier (Thousand Gallons per Day)</t>
  </si>
  <si>
    <t>Montana Total Gasoline All Sales/Deliveries by Prime Supplier (Thousand Gallons per Day)</t>
  </si>
  <si>
    <t>Utah Total Gasoline All Sales/Deliveries by Prime Supplier (Thousand Gallons per Day)</t>
  </si>
  <si>
    <t>Wyoming Total Gasoline All Sales/Deliveries by Prime Supplier (Thousand Gallons per Day)</t>
  </si>
  <si>
    <t>Alaska Total Gasoline All Sales/Deliveries by Prime Supplier (Thousand Gallons per Day)</t>
  </si>
  <si>
    <t>Arizona Total Gasoline All Sales/Deliveries by Prime Supplier (Thousand Gallons per Day)</t>
  </si>
  <si>
    <t>California Total Gasoline All Sales/Deliveries by Prime Supplier (Thousand Gallons per Day)</t>
  </si>
  <si>
    <t>Hawaii Total Gasoline All Sales/Deliveries by Prime Supplier (Thousand Gallons per Day)</t>
  </si>
  <si>
    <t>Nevada Total Gasoline All Sales/Deliveries by Prime Supplier (Thousand Gallons per Day)</t>
  </si>
  <si>
    <t>Oregon Total Gasoline All Sales/Deliveries by Prime Supplier (Thousand Gallons per Day)</t>
  </si>
  <si>
    <t>Washington Total Gasoline All Sales/Deliveries by Prime Supplier (Thousand Gallons per Day)</t>
  </si>
  <si>
    <t>by State, 2017 (Thousand Megawatthours)</t>
  </si>
  <si>
    <t>2018 thousand gallon YEAR</t>
  </si>
  <si>
    <t>Sourcekey</t>
  </si>
  <si>
    <t>Date</t>
  </si>
  <si>
    <t>N9140US2</t>
  </si>
  <si>
    <t>U.S. Natural Gas Total Consumption (MMcf)</t>
  </si>
  <si>
    <t>NA1490_SAL_2</t>
  </si>
  <si>
    <t>Alabama Natural Gas Total Consumption (MMcf)</t>
  </si>
  <si>
    <t>NA1490_SAK_2</t>
  </si>
  <si>
    <t>Alaska Natural Gas Total Consumption (MMcf)</t>
  </si>
  <si>
    <t>NA1490_SAZ_2</t>
  </si>
  <si>
    <t>Arizona Natural Gas Total Consumption (MMcf)</t>
  </si>
  <si>
    <t>NA1490_SAR_2</t>
  </si>
  <si>
    <t>Arkansas Natural Gas Total Consumption (MMcf)</t>
  </si>
  <si>
    <t>NA1490_SCA_2</t>
  </si>
  <si>
    <t>California Natural Gas Total Consumption (MMcf)</t>
  </si>
  <si>
    <t>NA1490_SCO_2</t>
  </si>
  <si>
    <t>Colorado Natural Gas Total Consumption (MMcf)</t>
  </si>
  <si>
    <t>NA1490_SCT_2</t>
  </si>
  <si>
    <t>Connecticut Natural Gas Total Consumption (MMcf)</t>
  </si>
  <si>
    <t>NA1490_SDE_2</t>
  </si>
  <si>
    <t>Delaware Natural Gas Total Consumption (MMcf)</t>
  </si>
  <si>
    <t>NA1490_SFL_2</t>
  </si>
  <si>
    <t>Florida Natural Gas Total Consumption (MMcf)</t>
  </si>
  <si>
    <t>NA1490_SGA_2</t>
  </si>
  <si>
    <t>Georgia Natural Gas Total Consumption (MMcf)</t>
  </si>
  <si>
    <t>NA1490_SHI_2</t>
  </si>
  <si>
    <t>Hawaii Natural Gas Total Consumption (MMcf)</t>
  </si>
  <si>
    <t>NA1490_SID_2</t>
  </si>
  <si>
    <t>Idaho Natural Gas Total Consumption (MMcf)</t>
  </si>
  <si>
    <t>NA1490_SIL_2</t>
  </si>
  <si>
    <t>Illinois Natural Gas Total Consumption (MMcf)</t>
  </si>
  <si>
    <t>NA1490_SIN_2</t>
  </si>
  <si>
    <t>Indiana Natural Gas Total Consumption (MMcf)</t>
  </si>
  <si>
    <t>NA1490_SIA_2</t>
  </si>
  <si>
    <t>Iowa Natural Gas Total Consumption (MMcf)</t>
  </si>
  <si>
    <t>NA1490_SKS_2</t>
  </si>
  <si>
    <t>Kansas Natural Gas Total Consumption (MMcf)</t>
  </si>
  <si>
    <t>NA1490_SKY_2</t>
  </si>
  <si>
    <t>Kentucky Natural Gas Total Consumption (MMcf)</t>
  </si>
  <si>
    <t>NA1490_SLA_2</t>
  </si>
  <si>
    <t>Louisiana Natural Gas Total Consumption (MMcf)</t>
  </si>
  <si>
    <t>NA1490_SME_2</t>
  </si>
  <si>
    <t>Maine Natural Gas Total Consumption (MMcf)</t>
  </si>
  <si>
    <t>NA1490_SMD_2</t>
  </si>
  <si>
    <t>Maryland Natural Gas Total Consumption (MMcf)</t>
  </si>
  <si>
    <t>NA1490_SMA_2</t>
  </si>
  <si>
    <t>Massachusetts Natural Gas Total Consumption (MMcf)</t>
  </si>
  <si>
    <t>NA1490_SMI_2</t>
  </si>
  <si>
    <t>Michigan Natural Gas Total Consumption (MMcf)</t>
  </si>
  <si>
    <t>NA1490_SMN_2</t>
  </si>
  <si>
    <t>Minnesota Natural Gas Total Consumption (MMcf)</t>
  </si>
  <si>
    <t>NA1490_SMS_2</t>
  </si>
  <si>
    <t>Mississippi Natural Gas Total Consumption (MMcf)</t>
  </si>
  <si>
    <t>NA1490_SMO_2</t>
  </si>
  <si>
    <t>Missouri Natural Gas Total Consumption (MMcf)</t>
  </si>
  <si>
    <t>NA1490_SMT_2</t>
  </si>
  <si>
    <t>Montana Natural Gas Total Consumption (MMcf)</t>
  </si>
  <si>
    <t>NA1490_SNE_2</t>
  </si>
  <si>
    <t>Nebraska Natural Gas Total Consumption (MMcf)</t>
  </si>
  <si>
    <t>NA1490_SNV_2</t>
  </si>
  <si>
    <t>Nevada Natural Gas Total Consumption (MMcf)</t>
  </si>
  <si>
    <t>NA1490_SNH_2</t>
  </si>
  <si>
    <t>New Hampshire Natural Gas Total Consumption (MMcf)</t>
  </si>
  <si>
    <t>NA1490_SNJ_2</t>
  </si>
  <si>
    <t>New Jersey Natural Gas Total Consumption (MMcf)</t>
  </si>
  <si>
    <t>NA1490_SNM_2</t>
  </si>
  <si>
    <t>New Mexico Natural Gas Total Consumption (MMcf)</t>
  </si>
  <si>
    <t>NA1490_SNY_2</t>
  </si>
  <si>
    <t>New York Natural Gas Total Consumption (MMcf)</t>
  </si>
  <si>
    <t>NA1490_SNC_2</t>
  </si>
  <si>
    <t>North Carolina Natural Gas Total Consumption (MMcf)</t>
  </si>
  <si>
    <t>NA1490_SND_2</t>
  </si>
  <si>
    <t>North Dakota Natural Gas Total Consumption (MMcf)</t>
  </si>
  <si>
    <t>NA1490_SOH_2</t>
  </si>
  <si>
    <t>Ohio Natural Gas Total Consumption (MMcf)</t>
  </si>
  <si>
    <t>NA1490_SOK_2</t>
  </si>
  <si>
    <t>Oklahoma Natural Gas Total Consumption (MMcf)</t>
  </si>
  <si>
    <t>NA1490_SOR_2</t>
  </si>
  <si>
    <t>Oregon Natural Gas Total Consumption (MMcf)</t>
  </si>
  <si>
    <t>NA1490_SPA_2</t>
  </si>
  <si>
    <t>Pennsylvania Natural Gas Total Consumption (MMcf)</t>
  </si>
  <si>
    <t>NA1490_SRI_2</t>
  </si>
  <si>
    <t>Rhode Island Natural Gas Total Consumption (MMcf)</t>
  </si>
  <si>
    <t>NA1490_SSC_2</t>
  </si>
  <si>
    <t>South Carolina Natural Gas Total Consumption (MMcf)</t>
  </si>
  <si>
    <t>NA1490_SSD_2</t>
  </si>
  <si>
    <t>South Dakota Natural Gas Total Consumption (MMcf)</t>
  </si>
  <si>
    <t>NA1490_STN_2</t>
  </si>
  <si>
    <t>Tennessee Natural Gas Total Consumption (MMcf)</t>
  </si>
  <si>
    <t>NA1490_STX_2</t>
  </si>
  <si>
    <t>Texas Natural Gas Total Consumption (MMcf)</t>
  </si>
  <si>
    <t>NA1490_SUT_2</t>
  </si>
  <si>
    <t>Utah Natural Gas Total Consumption (MMcf)</t>
  </si>
  <si>
    <t>NA1490_SVT_2</t>
  </si>
  <si>
    <t>Vermont Natural Gas Total Consumption (MMcf)</t>
  </si>
  <si>
    <t>NA1490_SVA_2</t>
  </si>
  <si>
    <t>Virginia Natural Gas Total Consumption (MMcf)</t>
  </si>
  <si>
    <t>NA1490_SWA_2</t>
  </si>
  <si>
    <t>Washington Natural Gas Total Consumption (MMcf)</t>
  </si>
  <si>
    <t>NA1490_SWV_2</t>
  </si>
  <si>
    <t>West Virginia Natural Gas Total Consumption (MMcf)</t>
  </si>
  <si>
    <t>NA1490_SWI_2</t>
  </si>
  <si>
    <t>Wisconsin Natural Gas Total Consumption (MMcf)</t>
  </si>
  <si>
    <t>NA1490_SWY_2</t>
  </si>
  <si>
    <t>Wyoming Natural Gas Total Consumption (MMcf)</t>
  </si>
  <si>
    <t>percent renewable</t>
  </si>
  <si>
    <t>Kw for storage</t>
  </si>
  <si>
    <t>kw for TL</t>
  </si>
  <si>
    <t>KW for dispatchable</t>
  </si>
  <si>
    <t>Renewable cost per kw</t>
  </si>
  <si>
    <t>cost per kw of storage</t>
  </si>
  <si>
    <t>Cost of dipatchable</t>
  </si>
  <si>
    <t>Total cost if Dispatchale</t>
  </si>
  <si>
    <t>1 gallon gas=</t>
  </si>
  <si>
    <t xml:space="preserve"> Kilowatt Hours</t>
  </si>
  <si>
    <t>2018 kwh</t>
  </si>
  <si>
    <t>Average kilowatts</t>
  </si>
  <si>
    <t>Cap Cost if Renewable</t>
  </si>
  <si>
    <t>KW for 100% renewable</t>
  </si>
  <si>
    <t>average kilowatts</t>
  </si>
  <si>
    <t>gigawsatts</t>
  </si>
  <si>
    <t>kw for dispatchable TL</t>
  </si>
  <si>
    <t>total cost if renewable</t>
  </si>
  <si>
    <t>cost for TL per kw</t>
  </si>
  <si>
    <t>2017 kwh equivalence</t>
  </si>
  <si>
    <t>2017 average kilowatts</t>
  </si>
  <si>
    <t>kilowatts if renewable</t>
  </si>
  <si>
    <t>total cost with renewable</t>
  </si>
  <si>
    <t>total cost with dispatcabale</t>
  </si>
  <si>
    <t>2017 million btu</t>
  </si>
  <si>
    <t>US</t>
  </si>
  <si>
    <t>population</t>
  </si>
  <si>
    <t>households</t>
  </si>
  <si>
    <t>National average ppl/household</t>
  </si>
  <si>
    <t>Geographic Area</t>
  </si>
  <si>
    <t>United States</t>
  </si>
  <si>
    <r>
      <t>.</t>
    </r>
    <r>
      <rPr>
        <sz val="10"/>
        <color theme="1"/>
        <rFont val="MS sans serif"/>
      </rPr>
      <t>Alabama</t>
    </r>
  </si>
  <si>
    <r>
      <t>.</t>
    </r>
    <r>
      <rPr>
        <sz val="10"/>
        <color theme="1"/>
        <rFont val="MS sans serif"/>
      </rPr>
      <t>Alaska</t>
    </r>
  </si>
  <si>
    <r>
      <t>.</t>
    </r>
    <r>
      <rPr>
        <sz val="10"/>
        <color theme="1"/>
        <rFont val="MS sans serif"/>
      </rPr>
      <t>Arizona</t>
    </r>
  </si>
  <si>
    <r>
      <t>.</t>
    </r>
    <r>
      <rPr>
        <sz val="10"/>
        <color theme="1"/>
        <rFont val="MS sans serif"/>
      </rPr>
      <t>Arkansas</t>
    </r>
  </si>
  <si>
    <r>
      <t>.</t>
    </r>
    <r>
      <rPr>
        <sz val="10"/>
        <color theme="1"/>
        <rFont val="MS sans serif"/>
      </rPr>
      <t>California</t>
    </r>
  </si>
  <si>
    <r>
      <t>.</t>
    </r>
    <r>
      <rPr>
        <sz val="10"/>
        <color theme="1"/>
        <rFont val="MS sans serif"/>
      </rPr>
      <t>Colorado</t>
    </r>
  </si>
  <si>
    <r>
      <t>.</t>
    </r>
    <r>
      <rPr>
        <sz val="10"/>
        <color theme="1"/>
        <rFont val="MS sans serif"/>
      </rPr>
      <t>Connecticut</t>
    </r>
  </si>
  <si>
    <r>
      <t>.</t>
    </r>
    <r>
      <rPr>
        <sz val="10"/>
        <color theme="1"/>
        <rFont val="MS sans serif"/>
      </rPr>
      <t>Delaware</t>
    </r>
  </si>
  <si>
    <r>
      <t>.</t>
    </r>
    <r>
      <rPr>
        <sz val="10"/>
        <color theme="1"/>
        <rFont val="MS sans serif"/>
      </rPr>
      <t>Florida</t>
    </r>
  </si>
  <si>
    <r>
      <t>.</t>
    </r>
    <r>
      <rPr>
        <sz val="10"/>
        <color theme="1"/>
        <rFont val="MS sans serif"/>
      </rPr>
      <t>Georgia</t>
    </r>
  </si>
  <si>
    <r>
      <t>.</t>
    </r>
    <r>
      <rPr>
        <sz val="10"/>
        <color theme="1"/>
        <rFont val="MS sans serif"/>
      </rPr>
      <t>Hawaii</t>
    </r>
  </si>
  <si>
    <r>
      <t>.</t>
    </r>
    <r>
      <rPr>
        <sz val="10"/>
        <color theme="1"/>
        <rFont val="MS sans serif"/>
      </rPr>
      <t>Idaho</t>
    </r>
  </si>
  <si>
    <r>
      <t>.</t>
    </r>
    <r>
      <rPr>
        <sz val="10"/>
        <color theme="1"/>
        <rFont val="MS sans serif"/>
      </rPr>
      <t>Illinois</t>
    </r>
  </si>
  <si>
    <r>
      <t>.</t>
    </r>
    <r>
      <rPr>
        <sz val="10"/>
        <color theme="1"/>
        <rFont val="MS sans serif"/>
      </rPr>
      <t>Indiana</t>
    </r>
  </si>
  <si>
    <r>
      <t>.</t>
    </r>
    <r>
      <rPr>
        <sz val="10"/>
        <color theme="1"/>
        <rFont val="MS sans serif"/>
      </rPr>
      <t>Iowa</t>
    </r>
  </si>
  <si>
    <r>
      <t>.</t>
    </r>
    <r>
      <rPr>
        <sz val="10"/>
        <color theme="1"/>
        <rFont val="MS sans serif"/>
      </rPr>
      <t>Kansas</t>
    </r>
  </si>
  <si>
    <r>
      <t>.</t>
    </r>
    <r>
      <rPr>
        <sz val="10"/>
        <color theme="1"/>
        <rFont val="MS sans serif"/>
      </rPr>
      <t>Kentucky</t>
    </r>
  </si>
  <si>
    <r>
      <t>.</t>
    </r>
    <r>
      <rPr>
        <sz val="10"/>
        <color theme="1"/>
        <rFont val="MS sans serif"/>
      </rPr>
      <t>Louisiana</t>
    </r>
  </si>
  <si>
    <r>
      <t>.</t>
    </r>
    <r>
      <rPr>
        <sz val="10"/>
        <color theme="1"/>
        <rFont val="MS sans serif"/>
      </rPr>
      <t>Maine</t>
    </r>
  </si>
  <si>
    <r>
      <t>.</t>
    </r>
    <r>
      <rPr>
        <sz val="10"/>
        <color theme="1"/>
        <rFont val="MS sans serif"/>
      </rPr>
      <t>Maryland</t>
    </r>
  </si>
  <si>
    <r>
      <t>.</t>
    </r>
    <r>
      <rPr>
        <sz val="10"/>
        <color theme="1"/>
        <rFont val="MS sans serif"/>
      </rPr>
      <t>Massachusetts</t>
    </r>
  </si>
  <si>
    <r>
      <t>.</t>
    </r>
    <r>
      <rPr>
        <sz val="10"/>
        <color theme="1"/>
        <rFont val="MS sans serif"/>
      </rPr>
      <t>Michigan</t>
    </r>
  </si>
  <si>
    <r>
      <t>.</t>
    </r>
    <r>
      <rPr>
        <sz val="10"/>
        <color theme="1"/>
        <rFont val="MS sans serif"/>
      </rPr>
      <t>Minnesota</t>
    </r>
  </si>
  <si>
    <r>
      <t>.</t>
    </r>
    <r>
      <rPr>
        <sz val="10"/>
        <color theme="1"/>
        <rFont val="MS sans serif"/>
      </rPr>
      <t>Mississippi</t>
    </r>
  </si>
  <si>
    <r>
      <t>.</t>
    </r>
    <r>
      <rPr>
        <sz val="10"/>
        <color theme="1"/>
        <rFont val="MS sans serif"/>
      </rPr>
      <t>Missouri</t>
    </r>
  </si>
  <si>
    <r>
      <t>.</t>
    </r>
    <r>
      <rPr>
        <sz val="10"/>
        <color theme="1"/>
        <rFont val="MS sans serif"/>
      </rPr>
      <t>Montana</t>
    </r>
  </si>
  <si>
    <r>
      <t>.</t>
    </r>
    <r>
      <rPr>
        <sz val="10"/>
        <color theme="1"/>
        <rFont val="MS sans serif"/>
      </rPr>
      <t>Nebraska</t>
    </r>
  </si>
  <si>
    <r>
      <t>.</t>
    </r>
    <r>
      <rPr>
        <sz val="10"/>
        <color theme="1"/>
        <rFont val="MS sans serif"/>
      </rPr>
      <t>Nevada</t>
    </r>
  </si>
  <si>
    <r>
      <t>.</t>
    </r>
    <r>
      <rPr>
        <sz val="10"/>
        <color theme="1"/>
        <rFont val="MS sans serif"/>
      </rPr>
      <t>New Hampshire</t>
    </r>
  </si>
  <si>
    <r>
      <t>.</t>
    </r>
    <r>
      <rPr>
        <sz val="10"/>
        <color theme="1"/>
        <rFont val="MS sans serif"/>
      </rPr>
      <t>New Jersey</t>
    </r>
  </si>
  <si>
    <r>
      <t>.</t>
    </r>
    <r>
      <rPr>
        <sz val="10"/>
        <color theme="1"/>
        <rFont val="MS sans serif"/>
      </rPr>
      <t>New Mexico</t>
    </r>
  </si>
  <si>
    <r>
      <t>.</t>
    </r>
    <r>
      <rPr>
        <sz val="10"/>
        <color theme="1"/>
        <rFont val="MS sans serif"/>
      </rPr>
      <t>New York</t>
    </r>
  </si>
  <si>
    <r>
      <t>.</t>
    </r>
    <r>
      <rPr>
        <sz val="10"/>
        <color theme="1"/>
        <rFont val="MS sans serif"/>
      </rPr>
      <t>North Carolina</t>
    </r>
  </si>
  <si>
    <r>
      <t>.</t>
    </r>
    <r>
      <rPr>
        <sz val="10"/>
        <color theme="1"/>
        <rFont val="MS sans serif"/>
      </rPr>
      <t>North Dakota</t>
    </r>
  </si>
  <si>
    <r>
      <t>.</t>
    </r>
    <r>
      <rPr>
        <sz val="10"/>
        <color theme="1"/>
        <rFont val="MS sans serif"/>
      </rPr>
      <t>Ohio</t>
    </r>
  </si>
  <si>
    <r>
      <t>.</t>
    </r>
    <r>
      <rPr>
        <sz val="10"/>
        <color theme="1"/>
        <rFont val="MS sans serif"/>
      </rPr>
      <t>Oklahoma</t>
    </r>
  </si>
  <si>
    <r>
      <t>.</t>
    </r>
    <r>
      <rPr>
        <sz val="10"/>
        <color theme="1"/>
        <rFont val="MS sans serif"/>
      </rPr>
      <t>Oregon</t>
    </r>
  </si>
  <si>
    <r>
      <t>.</t>
    </r>
    <r>
      <rPr>
        <sz val="10"/>
        <color theme="1"/>
        <rFont val="MS sans serif"/>
      </rPr>
      <t>Pennsylvania</t>
    </r>
  </si>
  <si>
    <r>
      <t>.</t>
    </r>
    <r>
      <rPr>
        <sz val="10"/>
        <color theme="1"/>
        <rFont val="MS sans serif"/>
      </rPr>
      <t>Rhode Island</t>
    </r>
  </si>
  <si>
    <r>
      <t>.</t>
    </r>
    <r>
      <rPr>
        <sz val="10"/>
        <color theme="1"/>
        <rFont val="MS sans serif"/>
      </rPr>
      <t>South Carolina</t>
    </r>
  </si>
  <si>
    <r>
      <t>.</t>
    </r>
    <r>
      <rPr>
        <sz val="10"/>
        <color theme="1"/>
        <rFont val="MS sans serif"/>
      </rPr>
      <t>South Dakota</t>
    </r>
  </si>
  <si>
    <r>
      <t>.</t>
    </r>
    <r>
      <rPr>
        <sz val="10"/>
        <color theme="1"/>
        <rFont val="MS sans serif"/>
      </rPr>
      <t>Tennessee</t>
    </r>
  </si>
  <si>
    <r>
      <t>.</t>
    </r>
    <r>
      <rPr>
        <sz val="10"/>
        <color theme="1"/>
        <rFont val="MS sans serif"/>
      </rPr>
      <t>Texas</t>
    </r>
  </si>
  <si>
    <r>
      <t>.</t>
    </r>
    <r>
      <rPr>
        <sz val="10"/>
        <color theme="1"/>
        <rFont val="MS sans serif"/>
      </rPr>
      <t>Utah</t>
    </r>
  </si>
  <si>
    <r>
      <t>.</t>
    </r>
    <r>
      <rPr>
        <sz val="10"/>
        <color theme="1"/>
        <rFont val="MS sans serif"/>
      </rPr>
      <t>Vermont</t>
    </r>
  </si>
  <si>
    <r>
      <t>.</t>
    </r>
    <r>
      <rPr>
        <sz val="10"/>
        <color theme="1"/>
        <rFont val="MS sans serif"/>
      </rPr>
      <t>Virginia</t>
    </r>
  </si>
  <si>
    <r>
      <t>.</t>
    </r>
    <r>
      <rPr>
        <sz val="10"/>
        <color theme="1"/>
        <rFont val="MS sans serif"/>
      </rPr>
      <t>Washington</t>
    </r>
  </si>
  <si>
    <r>
      <t>.</t>
    </r>
    <r>
      <rPr>
        <sz val="10"/>
        <color theme="1"/>
        <rFont val="MS sans serif"/>
      </rPr>
      <t>West Virginia</t>
    </r>
  </si>
  <si>
    <r>
      <t>.</t>
    </r>
    <r>
      <rPr>
        <sz val="10"/>
        <color theme="1"/>
        <rFont val="MS sans serif"/>
      </rPr>
      <t>Wisconsin</t>
    </r>
  </si>
  <si>
    <r>
      <t>.</t>
    </r>
    <r>
      <rPr>
        <sz val="10"/>
        <color theme="1"/>
        <rFont val="MS sans serif"/>
      </rPr>
      <t>Wyoming</t>
    </r>
  </si>
  <si>
    <t>Estimated households</t>
  </si>
  <si>
    <t>percent using electricity</t>
  </si>
  <si>
    <t>Gas households</t>
  </si>
  <si>
    <t>STATE MOTOR-VEHICLE REGISTRATIONS - 2016</t>
  </si>
  <si>
    <t>AUTOMOBILES</t>
  </si>
  <si>
    <t>BUSES</t>
  </si>
  <si>
    <t>TRUCKS</t>
  </si>
  <si>
    <t>MOTORCYCLES</t>
  </si>
  <si>
    <t>ALL MOTOR VEHICLES</t>
  </si>
  <si>
    <t>PRIVATE AND</t>
  </si>
  <si>
    <t>TOTAL</t>
  </si>
  <si>
    <t>COMMERCIAL</t>
  </si>
  <si>
    <t>PUBLICLY</t>
  </si>
  <si>
    <t>(INCLUDING</t>
  </si>
  <si>
    <t>OWNED (1)</t>
  </si>
  <si>
    <t>Alaska (2)</t>
  </si>
  <si>
    <t>—</t>
  </si>
  <si>
    <t>Connecticut (2)</t>
  </si>
  <si>
    <t>Indiana (3)</t>
  </si>
  <si>
    <t>Massachusetts (3)</t>
  </si>
  <si>
    <t>Total</t>
  </si>
  <si>
    <t>6/30/2018 TGD</t>
  </si>
  <si>
    <t>multiplier for diesel</t>
  </si>
  <si>
    <t>adjusted for diesel</t>
  </si>
  <si>
    <t>Est Square Feet Commercial floor space, million sq ft</t>
  </si>
  <si>
    <t>cost to retrofit per square foot</t>
  </si>
  <si>
    <t>total electric</t>
  </si>
  <si>
    <t>of northeast</t>
  </si>
  <si>
    <t>of midwest</t>
  </si>
  <si>
    <t>of south</t>
  </si>
  <si>
    <t>of west</t>
  </si>
  <si>
    <t>total cost on site</t>
  </si>
  <si>
    <t>Data Sheet</t>
  </si>
  <si>
    <t>Capital Cost</t>
  </si>
  <si>
    <t>Wind/Solar</t>
  </si>
  <si>
    <t>Storage</t>
  </si>
  <si>
    <t>$/kw</t>
  </si>
  <si>
    <t>Transmission</t>
  </si>
  <si>
    <t>$/unit</t>
  </si>
  <si>
    <t>Cars</t>
  </si>
  <si>
    <t>Busses</t>
  </si>
  <si>
    <t>Trucks</t>
  </si>
  <si>
    <t>Households</t>
  </si>
  <si>
    <t>$/square foot</t>
  </si>
  <si>
    <t>Commercial Building</t>
  </si>
  <si>
    <t>cap cost if dispatchable</t>
  </si>
  <si>
    <t>State</t>
  </si>
  <si>
    <t>100% Renewable Electric</t>
  </si>
  <si>
    <t>Direct Use</t>
  </si>
  <si>
    <t>Household Cost</t>
  </si>
  <si>
    <t>Commercial Bldg Cost</t>
  </si>
  <si>
    <t>Vehicle Cost</t>
  </si>
  <si>
    <t>Grand Total</t>
  </si>
  <si>
    <t>Motor Cycles</t>
  </si>
  <si>
    <t>Infrastructure cost</t>
  </si>
  <si>
    <t>Peak Day Send out</t>
  </si>
  <si>
    <t>Mmbtu/day</t>
  </si>
  <si>
    <t>Mmbtu/hour</t>
  </si>
  <si>
    <t>GW</t>
  </si>
  <si>
    <t>Infrastucture Costs</t>
  </si>
  <si>
    <t>Household Costs</t>
  </si>
  <si>
    <t>Commercial Building Costs</t>
  </si>
  <si>
    <t>There are NO Default Populations</t>
  </si>
  <si>
    <t>Building Square Footage</t>
  </si>
  <si>
    <t>Number of Households</t>
  </si>
  <si>
    <t>Cost</t>
  </si>
  <si>
    <t>kW</t>
  </si>
  <si>
    <t>Cost per Househld</t>
  </si>
  <si>
    <t>Cost Per Square Foot</t>
  </si>
  <si>
    <t>Total Cost</t>
  </si>
  <si>
    <t>Tractors, Materials Handling, Loaders, airport tow vehicles etc.</t>
  </si>
  <si>
    <t>BCFD</t>
  </si>
  <si>
    <t>Million metric tons of carbon dioxide</t>
  </si>
  <si>
    <t>Electric power</t>
  </si>
  <si>
    <t>State total (unadjusted)</t>
  </si>
  <si>
    <t>Source: U.S. Energy Information Administration, State Energy Data System and EIA calculations made for this analysis.</t>
  </si>
  <si>
    <t>Cost $$</t>
  </si>
  <si>
    <t>Emission Reductions metric tons CO2</t>
  </si>
  <si>
    <t>Row Labels</t>
  </si>
  <si>
    <t>cost per ton reduced</t>
  </si>
  <si>
    <t>Sum of Commercial</t>
  </si>
  <si>
    <t>state</t>
  </si>
  <si>
    <t>Sum of Electric power</t>
  </si>
  <si>
    <t>Sum of Residential</t>
  </si>
  <si>
    <t>Sum of Transportation</t>
  </si>
  <si>
    <t>Dollars per Ton Reduced</t>
  </si>
  <si>
    <t>This sheet allows for calculation of the electricity requirements under peak day natural gas  use conditions assuming renewable elewctricity.  If "traditional" generation then you should change reference cells in F12 to "F11* 'Cost Data'!C7</t>
  </si>
  <si>
    <t>Includes Farm, Rail, ship and off highway</t>
  </si>
  <si>
    <t>State total</t>
  </si>
  <si>
    <t>Thousand Gallons</t>
  </si>
  <si>
    <t>federal district</t>
  </si>
  <si>
    <t>or territory</t>
  </si>
  <si>
    <t>[note 1]</t>
  </si>
  <si>
    <t> United States</t>
  </si>
  <si>
    <t>20,865,140[B]</t>
  </si>
  <si>
    <t>100.00[B]</t>
  </si>
  <si>
    <t> California</t>
  </si>
  <si>
    <t> Texas</t>
  </si>
  <si>
    <t> New York</t>
  </si>
  <si>
    <t> Florida</t>
  </si>
  <si>
    <t> Illinois</t>
  </si>
  <si>
    <t> Pennsylvania</t>
  </si>
  <si>
    <t> Ohio</t>
  </si>
  <si>
    <t> New Jersey</t>
  </si>
  <si>
    <t> Georgia</t>
  </si>
  <si>
    <t> Washington</t>
  </si>
  <si>
    <t> Massachusetts</t>
  </si>
  <si>
    <t> North Carolina</t>
  </si>
  <si>
    <t> Virginia</t>
  </si>
  <si>
    <t> Michigan</t>
  </si>
  <si>
    <t> Maryland</t>
  </si>
  <si>
    <t> Colorado</t>
  </si>
  <si>
    <t> Minnesota</t>
  </si>
  <si>
    <t> Tennessee</t>
  </si>
  <si>
    <t> Indiana</t>
  </si>
  <si>
    <t> Arizona</t>
  </si>
  <si>
    <t> Wisconsin</t>
  </si>
  <si>
    <t> Missouri</t>
  </si>
  <si>
    <t> Connecticut</t>
  </si>
  <si>
    <t> Louisiana</t>
  </si>
  <si>
    <t> Oregon</t>
  </si>
  <si>
    <t> South Carolina</t>
  </si>
  <si>
    <t> Alabama</t>
  </si>
  <si>
    <t> Kentucky</t>
  </si>
  <si>
    <t> Oklahoma</t>
  </si>
  <si>
    <t> Iowa</t>
  </si>
  <si>
    <t> Utah</t>
  </si>
  <si>
    <t> Kansas</t>
  </si>
  <si>
    <t> Nevada</t>
  </si>
  <si>
    <t> Arkansas</t>
  </si>
  <si>
    <t> Nebraska</t>
  </si>
  <si>
    <t> Mississippi</t>
  </si>
  <si>
    <t> New Mexico</t>
  </si>
  <si>
    <t> Hawaii</t>
  </si>
  <si>
    <t> New Hampshire</t>
  </si>
  <si>
    <t> West Virginia</t>
  </si>
  <si>
    <t> Idaho</t>
  </si>
  <si>
    <t> Delaware</t>
  </si>
  <si>
    <t> Maine</t>
  </si>
  <si>
    <t> Rhode Island</t>
  </si>
  <si>
    <t> Alaska</t>
  </si>
  <si>
    <t> South Dakota</t>
  </si>
  <si>
    <t> Montana</t>
  </si>
  <si>
    <t> Wyoming</t>
  </si>
  <si>
    <t> Vermont</t>
  </si>
  <si>
    <t>% of Nation GDP</t>
  </si>
  <si>
    <t>National figures allocated to states based on perent of GDP.</t>
  </si>
  <si>
    <t>gallons</t>
  </si>
  <si>
    <t>kwh</t>
  </si>
  <si>
    <t>average kw</t>
  </si>
  <si>
    <t>capcost if renewable</t>
  </si>
  <si>
    <t>capcost if dispatchable</t>
  </si>
  <si>
    <t>INFRASTRUCTURE COSTS ONLY</t>
  </si>
  <si>
    <t>Off Road</t>
  </si>
  <si>
    <t>Sum of 100% Renewable Electric</t>
  </si>
  <si>
    <t>Sum of Direct Use</t>
  </si>
  <si>
    <t>Sum of Household Cost</t>
  </si>
  <si>
    <t>Sum of Commercial Bldg Cost</t>
  </si>
  <si>
    <t>Sum of Vehicle Cost</t>
  </si>
  <si>
    <t>Sum of Off Road</t>
  </si>
  <si>
    <t>Sum of TOTAL</t>
  </si>
  <si>
    <t>Internal Calculations of Costs, from other worksheets</t>
  </si>
  <si>
    <t>Cost to Electrify Each Sector Using Renewables for Electricity By State</t>
  </si>
  <si>
    <t>Cost to Electrify Each Sector Using Conventional Dispatchable Technologies for Electricity By State</t>
  </si>
  <si>
    <t>Sources as Indicated</t>
  </si>
  <si>
    <t>Calculator for Converting Direct Use to Electricity In Response to Extreme Weather</t>
  </si>
  <si>
    <t>use internal data specific to your utility</t>
  </si>
  <si>
    <t>converts BCFD to Mmbtu</t>
  </si>
  <si>
    <t>converts Mmbtu/day to per our</t>
  </si>
  <si>
    <t>converts to gigawatts</t>
  </si>
  <si>
    <t>converts to kilowatts</t>
  </si>
  <si>
    <t>from cost data sheet</t>
  </si>
  <si>
    <t>sum infrastructure, household and comm building costs</t>
  </si>
  <si>
    <t>Results shown in Green Cell, F24</t>
  </si>
  <si>
    <t>You can and should change Inputs in Yellow cells (F9, F16,F20) or cost information from "Cost Data" Sheet, then refresh.  Sheet assumes 100 % renewable electricity</t>
  </si>
  <si>
    <t>Carbon Emissions Reduced and Cost per ton</t>
  </si>
  <si>
    <t>Source: "emissions" worksheet</t>
  </si>
  <si>
    <t>Source: Sector Sheets.</t>
  </si>
  <si>
    <t>Source:</t>
  </si>
  <si>
    <t>Source: Sector Sheets Rounded</t>
  </si>
  <si>
    <t>Source https://www.eia.gov/electricity/annual/</t>
  </si>
  <si>
    <t>Process for Estimating Costs to Convert 100% of Electricity to Renewables</t>
  </si>
  <si>
    <r>
      <t xml:space="preserve">The following summarizes the steps used in calculating the cost to convert the existing grid to 100% renewables. The reader should note that the estimated capacity of wind and solar is three times the calculated average capacity.  </t>
    </r>
    <r>
      <rPr>
        <sz val="11"/>
        <color rgb="FF000000"/>
        <rFont val="Calibri"/>
        <family val="2"/>
        <scheme val="minor"/>
      </rPr>
      <t>Reputable literature currently assumes these renewable sources will likely replace existing generation resources</t>
    </r>
    <r>
      <rPr>
        <vertAlign val="superscript"/>
        <sz val="11"/>
        <color rgb="FF000000"/>
        <rFont val="Calibri"/>
        <family val="2"/>
        <scheme val="minor"/>
      </rPr>
      <t>[1]</t>
    </r>
    <r>
      <rPr>
        <sz val="11"/>
        <color rgb="FF000000"/>
        <rFont val="Calibri"/>
        <family val="2"/>
        <scheme val="minor"/>
      </rPr>
      <t xml:space="preserve"> and </t>
    </r>
    <r>
      <rPr>
        <sz val="11"/>
        <color theme="1"/>
        <rFont val="Calibri"/>
        <family val="2"/>
        <scheme val="minor"/>
      </rPr>
      <t>operate at this reduced capacity.  Essentially, three times as much of wind and solar is needed to provide the equivalent energy.</t>
    </r>
    <r>
      <rPr>
        <vertAlign val="superscript"/>
        <sz val="11"/>
        <color theme="1"/>
        <rFont val="Calibri"/>
        <family val="2"/>
        <scheme val="minor"/>
      </rPr>
      <t>[2]</t>
    </r>
  </si>
  <si>
    <t xml:space="preserve">1. Determine existing Annual Electricity from non-renewables in gigawatt (GW) hours.  For the US in 2018 that was 3 billion MW-hours.  </t>
  </si>
  <si>
    <t xml:space="preserve">2.Convert to kW by multiplying by 1,000,000 and dividing by 8760 (hours in a year).  This gives average capacity (a.c.). </t>
  </si>
  <si>
    <t>3. Determine kW of solar and wind at 30% capacity factor by multiplying a.c. by 3. Reference earlier discussion to learn more on reasoning for this reduced capacity.</t>
  </si>
  <si>
    <t>4. Estimate cost for solar/wind using $1,694/kW multiplied by number calculated in step 3. The solar/wind value was determined using EIA data[3] and averaging on-shore wind and utility-scale solar photovoltaic (PV) expenses.</t>
  </si>
  <si>
    <t>5. Determine the cost for storage using $1,850/kW multiplied by a.c. This number is the cost to install dispatchable and capable battery storage and was calculated using EIA cost estimates.</t>
  </si>
  <si>
    <t>6. Find the cost for transmission, which is $572/kW multiplied by the a.c. This transmission number is derived from the National Renewable Energy Laboratory’s Eastern Wind Integration and Transmission Study (EWITS).[4]</t>
  </si>
  <si>
    <t>7. The total is the addition of values calculated in Steps 4, 5, and 6.</t>
  </si>
  <si>
    <t>[1] This is essence requires 3x the installed capcity of wind and solar compared to more traditional sources.</t>
  </si>
  <si>
    <t>[2] U.S. Energy Information Administration, Cost and Performance Characteristics of New Generating Technologies, Annual Energy Outlook 2019</t>
  </si>
  <si>
    <t>[3] U.S. Energy Information Administration, Cost and Performance Characteristics of New Generating Technologies, Annual Energy Outlook 2019</t>
  </si>
  <si>
    <t>[4] Tanton and Taylor "Hidden Cost of Wind Energy" American Tradition Institute, December 2012</t>
  </si>
  <si>
    <t>SEE TRANSPORTATION EXPLAINER</t>
  </si>
  <si>
    <t>SEE ELECTRIC EXPLAINER</t>
  </si>
  <si>
    <r>
      <t>1.</t>
    </r>
    <r>
      <rPr>
        <sz val="7"/>
        <color rgb="FF000000"/>
        <rFont val="Times New Roman"/>
        <family val="1"/>
      </rPr>
      <t xml:space="preserve">      </t>
    </r>
    <r>
      <rPr>
        <sz val="11"/>
        <color rgb="FF000000"/>
        <rFont val="Calibri"/>
        <family val="2"/>
      </rPr>
      <t>Determine annual fuel sales in gallons of gasoline and diesel.</t>
    </r>
  </si>
  <si>
    <r>
      <t>2.</t>
    </r>
    <r>
      <rPr>
        <sz val="7"/>
        <color rgb="FF000000"/>
        <rFont val="Times New Roman"/>
        <family val="1"/>
      </rPr>
      <t xml:space="preserve">      </t>
    </r>
    <r>
      <rPr>
        <sz val="12"/>
        <color rgb="FF000000"/>
        <rFont val="Times New Roman"/>
        <family val="1"/>
      </rPr>
      <t xml:space="preserve">Adjust for higher energy content of diesel, and calculate weighted average gasoline equivalent.  Diesel contains approximately 14% more energy than gasoline, so for the purposes of this analysis, a gasoline equivalent of 216 billion gallons was used.  </t>
    </r>
  </si>
  <si>
    <r>
      <t>3.</t>
    </r>
    <r>
      <rPr>
        <sz val="7"/>
        <color theme="1"/>
        <rFont val="Times New Roman"/>
        <family val="1"/>
      </rPr>
      <t xml:space="preserve">      </t>
    </r>
    <r>
      <rPr>
        <sz val="12"/>
        <color rgb="FF000000"/>
        <rFont val="Times New Roman"/>
        <family val="1"/>
      </rPr>
      <t xml:space="preserve">Calculate current annual electrical energy equivalent in GW-hours for vehicle fuel purchased using 3412 Btu/kWh. </t>
    </r>
  </si>
  <si>
    <r>
      <t>4.</t>
    </r>
    <r>
      <rPr>
        <sz val="7"/>
        <color theme="1"/>
        <rFont val="Times New Roman"/>
        <family val="1"/>
      </rPr>
      <t xml:space="preserve">      </t>
    </r>
    <r>
      <rPr>
        <sz val="12"/>
        <color rgb="FF000000"/>
        <rFont val="Times New Roman"/>
        <family val="1"/>
      </rPr>
      <t>Convert to kW by multiplying by 1,000,000 and dividing by 8760, which is hours in a year.  This will give average capacity (a.c.).</t>
    </r>
  </si>
  <si>
    <r>
      <t>5.</t>
    </r>
    <r>
      <rPr>
        <sz val="7"/>
        <color theme="1"/>
        <rFont val="Times New Roman"/>
        <family val="1"/>
      </rPr>
      <t xml:space="preserve">      </t>
    </r>
    <r>
      <rPr>
        <sz val="11"/>
        <color theme="1"/>
        <rFont val="Calibri"/>
        <family val="2"/>
      </rPr>
      <t>Determine kW of solar and wind at 30% capacity factor by multiplying a.c. by 3. Reference discussion in Appendix A to learn more on reasoning for this reduced capacity.</t>
    </r>
  </si>
  <si>
    <r>
      <t>6.</t>
    </r>
    <r>
      <rPr>
        <sz val="7"/>
        <color theme="1"/>
        <rFont val="Times New Roman"/>
        <family val="1"/>
      </rPr>
      <t xml:space="preserve">      </t>
    </r>
    <r>
      <rPr>
        <sz val="11"/>
        <color rgb="FF000000"/>
        <rFont val="Calibri"/>
        <family val="2"/>
      </rPr>
      <t xml:space="preserve">Estimate cost for solar/wind using $1,694/kW multiplied by number calculated in step 5. </t>
    </r>
    <r>
      <rPr>
        <sz val="11"/>
        <color theme="1"/>
        <rFont val="Calibri"/>
        <family val="2"/>
      </rPr>
      <t>Reference discussion in Appendix A to learn more on determining this cost.</t>
    </r>
  </si>
  <si>
    <r>
      <t>7.</t>
    </r>
    <r>
      <rPr>
        <sz val="7"/>
        <color theme="1"/>
        <rFont val="Times New Roman"/>
        <family val="1"/>
      </rPr>
      <t xml:space="preserve">      </t>
    </r>
    <r>
      <rPr>
        <sz val="11"/>
        <color rgb="FF000000"/>
        <rFont val="Calibri"/>
        <family val="2"/>
      </rPr>
      <t>Determine the cost for storage using $1,850/kW multiplied by a.c.</t>
    </r>
    <r>
      <rPr>
        <sz val="11"/>
        <color theme="1"/>
        <rFont val="Calibri"/>
        <family val="2"/>
      </rPr>
      <t xml:space="preserve"> Reference discussion in Appendix A to learn more on determining this cost</t>
    </r>
    <r>
      <rPr>
        <sz val="11"/>
        <color rgb="FF000000"/>
        <rFont val="Calibri"/>
        <family val="2"/>
      </rPr>
      <t>.</t>
    </r>
  </si>
  <si>
    <r>
      <t>8.</t>
    </r>
    <r>
      <rPr>
        <sz val="7"/>
        <color theme="1"/>
        <rFont val="Times New Roman"/>
        <family val="1"/>
      </rPr>
      <t xml:space="preserve">      </t>
    </r>
    <r>
      <rPr>
        <sz val="11"/>
        <color rgb="FF000000"/>
        <rFont val="Calibri"/>
        <family val="2"/>
      </rPr>
      <t xml:space="preserve">Find the cost for transmission, which is $572/kW multiplied by the a.c. </t>
    </r>
    <r>
      <rPr>
        <sz val="11"/>
        <color theme="1"/>
        <rFont val="Calibri"/>
        <family val="2"/>
      </rPr>
      <t>Reference discussion in Appendix A to learn more on determining this cost.</t>
    </r>
  </si>
  <si>
    <r>
      <t>9.</t>
    </r>
    <r>
      <rPr>
        <sz val="7"/>
        <color theme="1"/>
        <rFont val="Times New Roman"/>
        <family val="1"/>
      </rPr>
      <t xml:space="preserve">      </t>
    </r>
    <r>
      <rPr>
        <b/>
        <sz val="11"/>
        <color rgb="FF000000"/>
        <rFont val="Calibri"/>
        <family val="2"/>
      </rPr>
      <t>Total (Step 6+7+8)</t>
    </r>
  </si>
  <si>
    <t>See Direct Use Explainer</t>
  </si>
  <si>
    <t>Source: https://www.eia.gov/dnav/ng/ng_cons_sum_a_EPG0_VC0_mmcf_a.htm</t>
  </si>
  <si>
    <r>
      <t>1.</t>
    </r>
    <r>
      <rPr>
        <sz val="7"/>
        <color rgb="FF000000"/>
        <rFont val="Times New Roman"/>
        <family val="1"/>
      </rPr>
      <t xml:space="preserve">      </t>
    </r>
    <r>
      <rPr>
        <sz val="11"/>
        <color rgb="FF000000"/>
        <rFont val="Calibri"/>
        <family val="2"/>
      </rPr>
      <t xml:space="preserve">Determine sales of natural gas in 2018 in million therms. A therm is a unit of heat equivalent to 100,000 Btu. </t>
    </r>
  </si>
  <si>
    <r>
      <t>2.</t>
    </r>
    <r>
      <rPr>
        <sz val="7"/>
        <color rgb="FF000000"/>
        <rFont val="Times New Roman"/>
        <family val="1"/>
      </rPr>
      <t xml:space="preserve">      </t>
    </r>
    <r>
      <rPr>
        <sz val="11"/>
        <color rgb="FF000000"/>
        <rFont val="Calibri"/>
        <family val="2"/>
      </rPr>
      <t>Determine equivalent electrical energy, divide by 29.3 kWh/therm.  Provides kWh.</t>
    </r>
  </si>
  <si>
    <r>
      <t>3.</t>
    </r>
    <r>
      <rPr>
        <sz val="7"/>
        <color theme="1"/>
        <rFont val="Times New Roman"/>
        <family val="1"/>
      </rPr>
      <t xml:space="preserve">      </t>
    </r>
    <r>
      <rPr>
        <sz val="11"/>
        <color rgb="FF000000"/>
        <rFont val="Calibri"/>
        <family val="2"/>
      </rPr>
      <t>Convert to kW by multiplying by 1,000,000 and dividing by 8760, which is hours in a year.  This will give average capacity (a.c.).</t>
    </r>
  </si>
  <si>
    <r>
      <t>4.</t>
    </r>
    <r>
      <rPr>
        <sz val="7"/>
        <color theme="1"/>
        <rFont val="Times New Roman"/>
        <family val="1"/>
      </rPr>
      <t xml:space="preserve">      </t>
    </r>
    <r>
      <rPr>
        <sz val="11"/>
        <color theme="1"/>
        <rFont val="Calibri"/>
        <family val="2"/>
      </rPr>
      <t>Determine kW of solar and wind at 30% capacity factor by multiplying a.c. by 3. Reference discussion in Appendix A to learn more on reasoning for this reduced capacity.</t>
    </r>
  </si>
  <si>
    <r>
      <t>5.</t>
    </r>
    <r>
      <rPr>
        <sz val="7"/>
        <color theme="1"/>
        <rFont val="Times New Roman"/>
        <family val="1"/>
      </rPr>
      <t xml:space="preserve">      </t>
    </r>
    <r>
      <rPr>
        <sz val="11"/>
        <color rgb="FF000000"/>
        <rFont val="Calibri"/>
        <family val="2"/>
      </rPr>
      <t xml:space="preserve">Estimate cost for solar/wind using $1,694/kW multiplied by number calculated in step 4. </t>
    </r>
    <r>
      <rPr>
        <sz val="11"/>
        <color theme="1"/>
        <rFont val="Calibri"/>
        <family val="2"/>
      </rPr>
      <t>Reference discussion in Appendix A to learn more on determining this cost.</t>
    </r>
  </si>
  <si>
    <r>
      <t>6.</t>
    </r>
    <r>
      <rPr>
        <sz val="7"/>
        <color theme="1"/>
        <rFont val="Times New Roman"/>
        <family val="1"/>
      </rPr>
      <t xml:space="preserve">      </t>
    </r>
    <r>
      <rPr>
        <sz val="11"/>
        <color rgb="FF000000"/>
        <rFont val="Calibri"/>
        <family val="2"/>
      </rPr>
      <t>Determine the cost for storage using $1,850/kW multiplied by a.c.</t>
    </r>
    <r>
      <rPr>
        <sz val="11"/>
        <color theme="1"/>
        <rFont val="Calibri"/>
        <family val="2"/>
      </rPr>
      <t xml:space="preserve"> Reference discussion in Appendix A to learn more on determining this cost</t>
    </r>
    <r>
      <rPr>
        <sz val="11"/>
        <color rgb="FF000000"/>
        <rFont val="Calibri"/>
        <family val="2"/>
      </rPr>
      <t>.</t>
    </r>
  </si>
  <si>
    <r>
      <t>7.</t>
    </r>
    <r>
      <rPr>
        <sz val="7"/>
        <color theme="1"/>
        <rFont val="Times New Roman"/>
        <family val="1"/>
      </rPr>
      <t xml:space="preserve">      </t>
    </r>
    <r>
      <rPr>
        <sz val="11"/>
        <color rgb="FF000000"/>
        <rFont val="Calibri"/>
        <family val="2"/>
      </rPr>
      <t xml:space="preserve">Find the cost for transmission, which is $572/kW multiplied by the a.c. </t>
    </r>
    <r>
      <rPr>
        <sz val="11"/>
        <color theme="1"/>
        <rFont val="Calibri"/>
        <family val="2"/>
      </rPr>
      <t>Reference discussion in Appendix A to learn more on determining this cost.</t>
    </r>
  </si>
  <si>
    <r>
      <t>8.</t>
    </r>
    <r>
      <rPr>
        <b/>
        <sz val="7"/>
        <color theme="1"/>
        <rFont val="Times New Roman"/>
        <family val="1"/>
      </rPr>
      <t xml:space="preserve">      </t>
    </r>
    <r>
      <rPr>
        <b/>
        <sz val="11"/>
        <color rgb="FF000000"/>
        <rFont val="Calibri"/>
        <family val="2"/>
      </rPr>
      <t>Subtotal (Step 5+6+7). This represents the infrastructure costs.</t>
    </r>
  </si>
  <si>
    <r>
      <t>9.</t>
    </r>
    <r>
      <rPr>
        <sz val="7"/>
        <color rgb="FF000000"/>
        <rFont val="Times New Roman"/>
        <family val="1"/>
      </rPr>
      <t xml:space="preserve">      </t>
    </r>
    <r>
      <rPr>
        <sz val="11"/>
        <color rgb="FF000000"/>
        <rFont val="Calibri"/>
        <family val="2"/>
      </rPr>
      <t>Determine number of households by dividing population by 2.3, which is a commonly used value for this calculation.</t>
    </r>
  </si>
  <si>
    <t xml:space="preserve">10.   To find the number of household candidates for fuel switching, multiply the value from Step 9 by percentage not yet all electric. There are residential consumers in each state who already use electricity for end uses, such as water heating and space heating. DOE provides this information.  In California, for example, 18% of people use electricity for space heat and 14% for water heating while in Alabama 57% use electricity. [1]  </t>
  </si>
  <si>
    <t>11.  Find the cost of converting households by multiplying by $10,000 initially.  This represents individual consumer costs.  The cost per household is based on a 2018 study led by the American Gas Association (AGA).[2] Subtotal. This represents the individual household costs.</t>
  </si>
  <si>
    <r>
      <t>12.</t>
    </r>
    <r>
      <rPr>
        <b/>
        <sz val="7"/>
        <color theme="1"/>
        <rFont val="Times New Roman"/>
        <family val="1"/>
      </rPr>
      <t xml:space="preserve">  </t>
    </r>
    <r>
      <rPr>
        <sz val="11"/>
        <color rgb="FF000000"/>
        <rFont val="Calibri"/>
        <family val="2"/>
      </rPr>
      <t xml:space="preserve">Ascertain the cost to convert commercial buildings by multiplying 90 billion square feet by $100/square foot. There is estimated 87 billion square feet nationally. The analysis includes this value, as well as the breakdown of commercial building by state. Note that commercial building electrification is often coupled with energy efficiency measures. These are known as “deep energy retrofits” (DERs). The cost can vary considerably, given varying climates, building ages, uses, sizes, and other factors.  Reliable average cost of a DER for commercial buildings is estimated at $75 per square foot.  However, $100/square foot is used in this calculation to account for inflation occurring since the research completed.  As well, many measures have already been implemented.  More challenging retrofits that will cost more money are now all that remains further increasing the average cost. </t>
    </r>
    <r>
      <rPr>
        <b/>
        <sz val="11"/>
        <color rgb="FF000000"/>
        <rFont val="Calibri"/>
        <family val="2"/>
      </rPr>
      <t>Subtotal. This represents the commercial building costs.</t>
    </r>
  </si>
  <si>
    <r>
      <t>13.</t>
    </r>
    <r>
      <rPr>
        <b/>
        <sz val="7"/>
        <color rgb="FF000000"/>
        <rFont val="Times New Roman"/>
        <family val="1"/>
      </rPr>
      <t xml:space="preserve">  </t>
    </r>
    <r>
      <rPr>
        <b/>
        <sz val="11"/>
        <color rgb="FF000000"/>
        <rFont val="Calibri"/>
        <family val="2"/>
      </rPr>
      <t>Total Cost, add line 8, 12 and 13</t>
    </r>
  </si>
  <si>
    <t>[1] Department of Energy, Residential Energy Consumption Survey, 2001.</t>
  </si>
  <si>
    <t>[2] Implications of Policy-Driven Residential Electrification An American Gas Association Study, prepared by ICF, July 2018  https://www.aga.org/globalassets/research--insights/reports/aga_study_on_residential_electrification.pdf</t>
  </si>
  <si>
    <t>at $10k per Ousehold</t>
  </si>
  <si>
    <t>1. Divide Population by people per household to estimate number of households</t>
  </si>
  <si>
    <t>2. Estimate percentage of households using electricity already from RECS</t>
  </si>
  <si>
    <t>3. Remaining percentage of households are candiates for electrifying</t>
  </si>
  <si>
    <t>3. Multiply Household cost by number of candidate households</t>
  </si>
  <si>
    <t>1. Estimate Commercial Building Square Feet</t>
  </si>
  <si>
    <t>2. Multiply Commercial Square Feet by $100/square foot</t>
  </si>
  <si>
    <t>Cost of a DER for commercial buildings is estimated at $25 to $150+ per square foot.   $100/square foot is used in this calculation.</t>
  </si>
  <si>
    <t>Source of Cost Per Square Foot: https://rmi.org/wp-content/uploads/2017/04/Pathways-to-Zero_Bldg-Case-for-Deep-Retrofits_Report_2012.pdf</t>
  </si>
  <si>
    <r>
      <t>1.</t>
    </r>
    <r>
      <rPr>
        <sz val="7"/>
        <color rgb="FF000000"/>
        <rFont val="Times New Roman"/>
        <family val="1"/>
      </rPr>
      <t xml:space="preserve">      </t>
    </r>
    <r>
      <rPr>
        <sz val="11"/>
        <color rgb="FF000000"/>
        <rFont val="Calibri"/>
        <family val="2"/>
      </rPr>
      <t>Determine annual fuel sales in gallons of diesel.</t>
    </r>
  </si>
  <si>
    <r>
      <t>2.</t>
    </r>
    <r>
      <rPr>
        <sz val="7"/>
        <color rgb="FF000000"/>
        <rFont val="Times New Roman"/>
        <family val="1"/>
      </rPr>
      <t xml:space="preserve">      </t>
    </r>
    <r>
      <rPr>
        <sz val="11"/>
        <color rgb="FF000000"/>
        <rFont val="Calibri"/>
        <family val="2"/>
      </rPr>
      <t xml:space="preserve">Adjust for higher energy content of diesel, and calculate weighted average gasoline equivalent.  Diesel contains approximately 14% more energy than gasoline, so for the purposes of this analysis, a gasoline equivalent of 216 billion gallons was used.  </t>
    </r>
  </si>
  <si>
    <r>
      <t>3.</t>
    </r>
    <r>
      <rPr>
        <sz val="7"/>
        <color theme="1"/>
        <rFont val="Times New Roman"/>
        <family val="1"/>
      </rPr>
      <t xml:space="preserve">      </t>
    </r>
    <r>
      <rPr>
        <sz val="11"/>
        <color rgb="FF000000"/>
        <rFont val="Calibri"/>
        <family val="2"/>
      </rPr>
      <t xml:space="preserve">Calculate current annual electrical energy equivalent in GW-hours for vehicle fuel purchased using 3412 Btu/kWh. </t>
    </r>
  </si>
  <si>
    <r>
      <t>4.</t>
    </r>
    <r>
      <rPr>
        <sz val="7"/>
        <color theme="1"/>
        <rFont val="Times New Roman"/>
        <family val="1"/>
      </rPr>
      <t xml:space="preserve">      </t>
    </r>
    <r>
      <rPr>
        <sz val="11"/>
        <color rgb="FF000000"/>
        <rFont val="Calibri"/>
        <family val="2"/>
      </rPr>
      <t>Convert to kW by multiplying by 1,000,000 and dividing by 8760, which is hours in a year.  This will give average capacity (a.c.).</t>
    </r>
  </si>
  <si>
    <r>
      <t>9.</t>
    </r>
    <r>
      <rPr>
        <sz val="7"/>
        <color theme="1"/>
        <rFont val="Times New Roman"/>
        <family val="1"/>
      </rPr>
      <t xml:space="preserve">      </t>
    </r>
    <r>
      <rPr>
        <b/>
        <sz val="11"/>
        <color rgb="FF000000"/>
        <rFont val="Calibri"/>
        <family val="2"/>
      </rPr>
      <t xml:space="preserve">Total (Step 6+7+8). </t>
    </r>
    <r>
      <rPr>
        <sz val="11"/>
        <color theme="1"/>
        <rFont val="Calibri"/>
        <family val="2"/>
      </rPr>
      <t>The original data from FHWA did not allow for easy allocation to individual states, so the nation-wide total was allocated to each state based upon its’ percentage of national gross domestic product (GDP). The majority of off-road use is assumed to be in commercial endeavors, consequently, the amount of fuel used would reflect economic activity.</t>
    </r>
  </si>
  <si>
    <t>Source: https://www.eia.gov/dnav/pet/pet_cons_821dst_dcu_nus_a.htm</t>
  </si>
  <si>
    <t>https://www.fhwa.dot.gov/policyinformation/statistics/2017/mv1.cfm</t>
  </si>
  <si>
    <t>Source</t>
  </si>
  <si>
    <t>1. Determine number of vehicles by vehicle type from https://www.fhwa.dot.gov/policyinformation/statistics/2017/mv1.cfm</t>
  </si>
  <si>
    <t>2. Multiply number of vehicles by type by the cost for each type (from Cost Data)</t>
  </si>
  <si>
    <t>3. Sum Across types by state</t>
  </si>
  <si>
    <t>Cost and Performance Characteristics of New Generating Technologies, Annual Energy Outlook 2019</t>
  </si>
  <si>
    <t>Tanton and Taylor "Hidden Cost of Wind Energy" American Tradition Institute, December 2012</t>
  </si>
  <si>
    <t>Ibid</t>
  </si>
  <si>
    <t>Cost and Performance Characteristics of New Generating Technologies, Annual Energy Outlook 2019, assume 50:50 wind and solar</t>
  </si>
  <si>
    <t xml:space="preserve">Implications of Policy-Driven Residential Electrification An American Gas Association Study, prepared by ICF, July 2018  https://www.aga.org/globalassets/research--insights/reports/aga_study_on_residential_electrification.pdf </t>
  </si>
  <si>
    <t>https://rmi.org/wp-content/uploads/2017/04/Pathways-to-Zero_Bldg-Case-for-Deep-Retrofits_Report_2012.pdf</t>
  </si>
  <si>
    <t>https://www.mckinsey.com/industries/automotive-and-assembly/our-insights/making-electric-vehicles-profitable</t>
  </si>
  <si>
    <t>Notes</t>
  </si>
  <si>
    <t>50% On shore wind and 50% solar PV</t>
  </si>
  <si>
    <t>https://uspirg.org/sites/pirg/files/reports/ElectricBusesInAmerica/US_Electric_bus_scrn.pdf</t>
  </si>
  <si>
    <t>Range: $120-250k</t>
  </si>
  <si>
    <t>https://apps.dana.com/commercial-vehicles/tco/</t>
  </si>
  <si>
    <t>dispatchable inc transmission and ccs</t>
  </si>
  <si>
    <t>natural gas fired combined cycle</t>
  </si>
  <si>
    <t>From essentially zero for city delivery trucks up to $55k incremental cost for regional hauler, not including charger</t>
  </si>
  <si>
    <t>Up to $12K; tax credit of $7.5k assumed to result in near parity.</t>
  </si>
  <si>
    <t>internal estimate</t>
  </si>
  <si>
    <t>source of population: https://www.census.gov/data/tables/time-series/demo/popest/2010s-state-total.html</t>
  </si>
  <si>
    <t>U.S.</t>
  </si>
  <si>
    <t>Population</t>
  </si>
  <si>
    <t>source: https://www.census.gov/data/tables/time-series/demo/popest/2010s-state-total.html</t>
  </si>
  <si>
    <t>100% Renewables Cost</t>
  </si>
  <si>
    <t>Total Per Capita</t>
  </si>
  <si>
    <t>Household Cost Per Capita</t>
  </si>
  <si>
    <t>100% Renewable per capita</t>
  </si>
  <si>
    <t>Source Emissions:U.S. Energy Information Administration, State Energy Data System; Cost per ton calculations by sector assumes 10% fixed charge rate on capital investment. Fixed charge rate is the percent of capital cost paid each year, accounting for the cost of capital, tax burden for the project, and the expected financial life of the project, and includes other fixed charges such as insurance. A commonly used rate is 10%.</t>
  </si>
  <si>
    <t>To Vary the assumed FCR, replace "0.1" with your assumption in  cell O7.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</si>
</sst>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yyyy"/>
    <numFmt numFmtId="165" formatCode="&quot;$&quot;#,##0"/>
    <numFmt numFmtId="166" formatCode="#,##0.00000"/>
    <numFmt numFmtId="167" formatCode="0.0"/>
    <numFmt numFmtId="168" formatCode="_(&quot;$&quot;* #,##0_);_(&quot;$&quot;* \(#,##0\);_(&quot;$&quot;* &quot;-&quot;??_);_(@_)"/>
    <numFmt numFmtId="169" formatCode="&quot;$&quot;#,##0.00"/>
    <numFmt numFmtId="170" formatCode="_(* #,##0_);_(* \(#,##0\);_(* &quot;-&quot;??_);_(@_)"/>
  </numFmts>
  <fonts count="45" x14ac:knownFonts="1">
    <font>
      <sz val="11"/>
      <color theme="1"/>
      <name val="Calibri"/>
      <family val="2"/>
      <scheme val="minor"/>
    </font>
    <font>
      <b/>
      <sz val="11"/>
      <color theme="1"/>
      <name val="Calibri"/>
      <family val="2"/>
      <scheme val="minor"/>
    </font>
    <font>
      <b/>
      <sz val="10"/>
      <color indexed="30"/>
      <name val="Arial"/>
      <family val="2"/>
    </font>
    <font>
      <sz val="10"/>
      <color theme="1"/>
      <name val="Calibri"/>
      <family val="2"/>
      <scheme val="minor"/>
    </font>
    <font>
      <b/>
      <sz val="10"/>
      <color indexed="8"/>
      <name val="Arial"/>
      <family val="2"/>
    </font>
    <font>
      <sz val="10"/>
      <color indexed="8"/>
      <name val="Arial"/>
      <family val="2"/>
    </font>
    <font>
      <sz val="10"/>
      <name val="Tahoma"/>
      <family val="2"/>
    </font>
    <font>
      <b/>
      <sz val="10"/>
      <name val="Arial"/>
      <family val="2"/>
    </font>
    <font>
      <b/>
      <sz val="9"/>
      <name val="Arial"/>
      <family val="2"/>
    </font>
    <font>
      <sz val="9"/>
      <name val="Arial"/>
      <family val="2"/>
    </font>
    <font>
      <b/>
      <sz val="10"/>
      <name val="Arial"/>
      <family val="2"/>
    </font>
    <font>
      <sz val="10"/>
      <color rgb="FF000000"/>
      <name val="Arial"/>
      <family val="2"/>
    </font>
    <font>
      <sz val="10"/>
      <name val="Arial"/>
      <family val="2"/>
    </font>
    <font>
      <sz val="11"/>
      <color theme="1"/>
      <name val="Calibri"/>
      <family val="2"/>
      <scheme val="minor"/>
    </font>
    <font>
      <sz val="10"/>
      <color theme="1"/>
      <name val="MS sans serif"/>
    </font>
    <font>
      <b/>
      <sz val="10"/>
      <color theme="1"/>
      <name val="MS sans serif"/>
    </font>
    <font>
      <sz val="10"/>
      <color indexed="9"/>
      <name val="MS sans serif"/>
    </font>
    <font>
      <sz val="11"/>
      <color rgb="FF000000"/>
      <name val="Calibri"/>
      <family val="2"/>
    </font>
    <font>
      <b/>
      <sz val="11"/>
      <name val="Calibri"/>
      <family val="2"/>
    </font>
    <font>
      <sz val="11"/>
      <name val="Calibri"/>
      <family val="2"/>
    </font>
    <font>
      <sz val="11"/>
      <color theme="1"/>
      <name val="Calibri"/>
      <family val="2"/>
    </font>
    <font>
      <b/>
      <sz val="12"/>
      <color rgb="FF0096D7"/>
      <name val="Calibri"/>
    </font>
    <font>
      <sz val="9"/>
      <color rgb="FF000000"/>
      <name val="Calibri"/>
    </font>
    <font>
      <b/>
      <sz val="9"/>
      <color rgb="FF000000"/>
      <name val="Calibri"/>
    </font>
    <font>
      <b/>
      <sz val="9"/>
      <color rgb="FF000000"/>
      <name val="Calibri"/>
      <family val="2"/>
    </font>
    <font>
      <i/>
      <sz val="11"/>
      <color theme="1"/>
      <name val="Calibri"/>
      <family val="2"/>
      <scheme val="minor"/>
    </font>
    <font>
      <sz val="14"/>
      <color theme="1"/>
      <name val="Calibri"/>
      <family val="2"/>
      <scheme val="minor"/>
    </font>
    <font>
      <sz val="10"/>
      <color rgb="FF000000"/>
      <name val="Calibri"/>
      <family val="2"/>
    </font>
    <font>
      <sz val="14"/>
      <color rgb="FF000000"/>
      <name val="Calibri"/>
      <family val="2"/>
    </font>
    <font>
      <b/>
      <sz val="12"/>
      <color rgb="FFFF0000"/>
      <name val="Arial"/>
      <family val="2"/>
    </font>
    <font>
      <sz val="13"/>
      <color rgb="FF2F5496"/>
      <name val="Calibri Light"/>
      <family val="2"/>
    </font>
    <font>
      <sz val="11"/>
      <color rgb="FF000000"/>
      <name val="Calibri"/>
      <family val="2"/>
      <scheme val="minor"/>
    </font>
    <font>
      <vertAlign val="superscript"/>
      <sz val="11"/>
      <color rgb="FF000000"/>
      <name val="Calibri"/>
      <family val="2"/>
      <scheme val="minor"/>
    </font>
    <font>
      <vertAlign val="superscript"/>
      <sz val="11"/>
      <color theme="1"/>
      <name val="Calibri"/>
      <family val="2"/>
      <scheme val="minor"/>
    </font>
    <font>
      <b/>
      <sz val="11"/>
      <color rgb="FF000000"/>
      <name val="Calibri"/>
      <family val="2"/>
    </font>
    <font>
      <b/>
      <sz val="11"/>
      <color theme="1"/>
      <name val="Calibri"/>
      <family val="2"/>
    </font>
    <font>
      <u/>
      <sz val="11"/>
      <color theme="10"/>
      <name val="Calibri"/>
      <family val="2"/>
      <scheme val="minor"/>
    </font>
    <font>
      <sz val="12"/>
      <color rgb="FFFF0000"/>
      <name val="Calibri"/>
      <family val="2"/>
      <scheme val="minor"/>
    </font>
    <font>
      <sz val="7"/>
      <color rgb="FF000000"/>
      <name val="Times New Roman"/>
      <family val="1"/>
    </font>
    <font>
      <sz val="12"/>
      <color rgb="FF000000"/>
      <name val="Times New Roman"/>
      <family val="1"/>
    </font>
    <font>
      <sz val="7"/>
      <color theme="1"/>
      <name val="Times New Roman"/>
      <family val="1"/>
    </font>
    <font>
      <b/>
      <sz val="7"/>
      <color theme="1"/>
      <name val="Times New Roman"/>
      <family val="1"/>
    </font>
    <font>
      <b/>
      <sz val="7"/>
      <color rgb="FF000000"/>
      <name val="Times New Roman"/>
      <family val="1"/>
    </font>
    <font>
      <sz val="10"/>
      <name val="Calibri"/>
      <family val="2"/>
      <scheme val="minor"/>
    </font>
    <font>
      <b/>
      <sz val="1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FEAF7"/>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theme="9"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AAAAAA"/>
      </left>
      <right style="thin">
        <color rgb="FFAAAAAA"/>
      </right>
      <top style="thin">
        <color rgb="FFAAAAAA"/>
      </top>
      <bottom style="thin">
        <color rgb="FFAAAAAA"/>
      </bottom>
      <diagonal/>
    </border>
    <border>
      <left style="thin">
        <color rgb="FFAAAAAA"/>
      </left>
      <right style="thin">
        <color rgb="FFAAAAAA"/>
      </right>
      <top style="thin">
        <color rgb="FFAAAAAA"/>
      </top>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0096D7"/>
      </bottom>
      <diagonal/>
    </border>
    <border>
      <left/>
      <right/>
      <top/>
      <bottom style="dashed">
        <color rgb="FFBFBFBF"/>
      </bottom>
      <diagonal/>
    </border>
    <border>
      <left/>
      <right/>
      <top style="medium">
        <color rgb="FF0096D7"/>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0" fontId="36" fillId="0" borderId="0" applyNumberFormat="0" applyFill="0" applyBorder="0" applyAlignment="0" applyProtection="0"/>
  </cellStyleXfs>
  <cellXfs count="185">
    <xf numFmtId="0" fontId="0" fillId="0" borderId="0" xfId="0"/>
    <xf numFmtId="0" fontId="3" fillId="3" borderId="0" xfId="0" applyFont="1" applyFill="1"/>
    <xf numFmtId="0" fontId="4" fillId="4" borderId="1" xfId="0" applyFont="1" applyFill="1" applyBorder="1" applyAlignment="1">
      <alignment horizontal="center" wrapText="1"/>
    </xf>
    <xf numFmtId="3" fontId="4" fillId="4" borderId="1" xfId="0" applyNumberFormat="1" applyFont="1" applyFill="1" applyBorder="1" applyAlignment="1">
      <alignment horizontal="right" wrapText="1"/>
    </xf>
    <xf numFmtId="0" fontId="5" fillId="0" borderId="1" xfId="0" applyFont="1" applyBorder="1" applyAlignment="1">
      <alignment horizontal="left" wrapText="1"/>
    </xf>
    <xf numFmtId="3" fontId="5" fillId="0" borderId="1" xfId="0" applyNumberFormat="1" applyFont="1" applyBorder="1" applyAlignment="1">
      <alignment horizontal="right" wrapText="1"/>
    </xf>
    <xf numFmtId="0" fontId="4" fillId="4" borderId="2" xfId="0" applyFont="1" applyFill="1" applyBorder="1" applyAlignment="1">
      <alignment horizontal="center" wrapText="1"/>
    </xf>
    <xf numFmtId="0" fontId="7" fillId="0" borderId="0" xfId="0" applyFont="1" applyAlignment="1">
      <alignment horizontal="center" wrapText="1"/>
    </xf>
    <xf numFmtId="0" fontId="7" fillId="0" borderId="0" xfId="0" applyFont="1" applyAlignment="1">
      <alignment wrapText="1"/>
    </xf>
    <xf numFmtId="11" fontId="0" fillId="0" borderId="0" xfId="0" applyNumberFormat="1"/>
    <xf numFmtId="164" fontId="1" fillId="0" borderId="0" xfId="0" applyNumberFormat="1" applyFont="1" applyAlignment="1">
      <alignment wrapText="1"/>
    </xf>
    <xf numFmtId="11" fontId="0" fillId="0" borderId="0" xfId="0" applyNumberFormat="1" applyAlignment="1">
      <alignment wrapText="1"/>
    </xf>
    <xf numFmtId="0" fontId="0" fillId="0" borderId="0" xfId="0" applyAlignment="1">
      <alignment wrapText="1"/>
    </xf>
    <xf numFmtId="0" fontId="8" fillId="0" borderId="0" xfId="0" applyFont="1" applyAlignment="1">
      <alignment horizontal="center" wrapText="1"/>
    </xf>
    <xf numFmtId="0" fontId="9" fillId="0" borderId="0" xfId="0" applyFont="1" applyAlignment="1">
      <alignment wrapText="1"/>
    </xf>
    <xf numFmtId="0" fontId="10" fillId="0" borderId="0" xfId="0" applyFont="1" applyAlignment="1">
      <alignment horizontal="center" wrapText="1"/>
    </xf>
    <xf numFmtId="0" fontId="10" fillId="0" borderId="0" xfId="0" applyFont="1" applyAlignment="1">
      <alignment wrapText="1"/>
    </xf>
    <xf numFmtId="0" fontId="3" fillId="3" borderId="3" xfId="0" applyFont="1" applyFill="1" applyBorder="1"/>
    <xf numFmtId="0" fontId="3" fillId="3" borderId="4" xfId="0" applyFont="1" applyFill="1" applyBorder="1"/>
    <xf numFmtId="3" fontId="4"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0" fontId="3" fillId="3" borderId="0" xfId="0" applyFont="1" applyFill="1" applyBorder="1"/>
    <xf numFmtId="0" fontId="3" fillId="3" borderId="5" xfId="0" applyFont="1" applyFill="1" applyBorder="1"/>
    <xf numFmtId="0" fontId="3" fillId="3" borderId="6" xfId="0" applyFont="1" applyFill="1" applyBorder="1"/>
    <xf numFmtId="0" fontId="3" fillId="3" borderId="1" xfId="0" applyFont="1" applyFill="1" applyBorder="1"/>
    <xf numFmtId="0" fontId="3" fillId="3" borderId="2" xfId="0" applyFont="1" applyFill="1" applyBorder="1"/>
    <xf numFmtId="0" fontId="3" fillId="3" borderId="7" xfId="0" applyFont="1" applyFill="1" applyBorder="1"/>
    <xf numFmtId="0" fontId="3" fillId="3" borderId="8" xfId="0" applyFont="1" applyFill="1" applyBorder="1"/>
    <xf numFmtId="0" fontId="3" fillId="3" borderId="8" xfId="0" applyFont="1" applyFill="1" applyBorder="1" applyAlignment="1">
      <alignment wrapText="1"/>
    </xf>
    <xf numFmtId="0" fontId="3" fillId="3" borderId="10" xfId="0" applyFont="1" applyFill="1" applyBorder="1" applyAlignment="1">
      <alignment wrapText="1"/>
    </xf>
    <xf numFmtId="0" fontId="3" fillId="3" borderId="1" xfId="0" applyFont="1" applyFill="1" applyBorder="1" applyAlignment="1">
      <alignment wrapText="1"/>
    </xf>
    <xf numFmtId="0" fontId="3" fillId="3" borderId="9" xfId="0" applyFont="1" applyFill="1" applyBorder="1" applyAlignment="1">
      <alignment wrapText="1"/>
    </xf>
    <xf numFmtId="0" fontId="3" fillId="3" borderId="7" xfId="0" applyFont="1" applyFill="1" applyBorder="1" applyAlignment="1">
      <alignment wrapText="1"/>
    </xf>
    <xf numFmtId="0" fontId="6" fillId="2" borderId="0" xfId="0" applyFont="1" applyFill="1" applyAlignment="1">
      <alignment horizontal="left" wrapText="1"/>
    </xf>
    <xf numFmtId="0" fontId="2" fillId="2" borderId="0" xfId="0" applyFont="1" applyFill="1" applyAlignment="1">
      <alignment horizontal="left" wrapText="1"/>
    </xf>
    <xf numFmtId="165" fontId="0" fillId="0" borderId="0" xfId="0" applyNumberFormat="1"/>
    <xf numFmtId="0" fontId="0" fillId="5" borderId="0" xfId="0" applyFill="1"/>
    <xf numFmtId="0" fontId="5" fillId="5" borderId="1" xfId="0" applyFont="1" applyFill="1" applyBorder="1" applyAlignment="1">
      <alignment horizontal="left" wrapText="1"/>
    </xf>
    <xf numFmtId="3" fontId="5" fillId="5" borderId="1" xfId="0" applyNumberFormat="1" applyFont="1" applyFill="1" applyBorder="1" applyAlignment="1">
      <alignment horizontal="right" wrapText="1"/>
    </xf>
    <xf numFmtId="3" fontId="5" fillId="5" borderId="2" xfId="0" applyNumberFormat="1" applyFont="1" applyFill="1" applyBorder="1" applyAlignment="1">
      <alignment horizontal="right" wrapText="1"/>
    </xf>
    <xf numFmtId="0" fontId="3" fillId="5" borderId="1" xfId="0" applyFont="1" applyFill="1" applyBorder="1"/>
    <xf numFmtId="0" fontId="3" fillId="5" borderId="1" xfId="0" applyFont="1" applyFill="1" applyBorder="1" applyAlignment="1">
      <alignment wrapText="1"/>
    </xf>
    <xf numFmtId="0" fontId="3" fillId="5" borderId="2" xfId="0" applyFont="1" applyFill="1" applyBorder="1"/>
    <xf numFmtId="0" fontId="3" fillId="5" borderId="0" xfId="0" applyFont="1" applyFill="1"/>
    <xf numFmtId="0" fontId="4" fillId="4" borderId="0" xfId="0" applyFont="1" applyFill="1" applyBorder="1" applyAlignment="1">
      <alignment horizontal="center" wrapText="1"/>
    </xf>
    <xf numFmtId="3" fontId="4" fillId="4" borderId="0" xfId="0" applyNumberFormat="1" applyFont="1" applyFill="1" applyBorder="1" applyAlignment="1">
      <alignment horizontal="right" wrapText="1"/>
    </xf>
    <xf numFmtId="3" fontId="5" fillId="0" borderId="0" xfId="0" applyNumberFormat="1" applyFont="1" applyBorder="1" applyAlignment="1">
      <alignment horizontal="right" wrapText="1"/>
    </xf>
    <xf numFmtId="166" fontId="5" fillId="0" borderId="0" xfId="0" applyNumberFormat="1" applyFont="1" applyBorder="1" applyAlignment="1">
      <alignment horizontal="right" wrapText="1"/>
    </xf>
    <xf numFmtId="1" fontId="3" fillId="3" borderId="10" xfId="0" applyNumberFormat="1" applyFont="1" applyFill="1" applyBorder="1" applyAlignment="1">
      <alignment wrapText="1"/>
    </xf>
    <xf numFmtId="2" fontId="11" fillId="0" borderId="11" xfId="0" applyNumberFormat="1" applyFont="1" applyBorder="1" applyAlignment="1">
      <alignment horizontal="right" vertical="top" shrinkToFit="1"/>
    </xf>
    <xf numFmtId="167" fontId="11" fillId="0" borderId="11" xfId="0" applyNumberFormat="1" applyFont="1" applyBorder="1" applyAlignment="1">
      <alignment horizontal="right" vertical="top" shrinkToFit="1"/>
    </xf>
    <xf numFmtId="167" fontId="11" fillId="0" borderId="12" xfId="0" applyNumberFormat="1" applyFont="1" applyBorder="1" applyAlignment="1">
      <alignment horizontal="right" vertical="top" shrinkToFit="1"/>
    </xf>
    <xf numFmtId="3" fontId="12" fillId="0" borderId="11" xfId="0" applyNumberFormat="1" applyFont="1" applyBorder="1" applyAlignment="1">
      <alignment horizontal="right" vertical="top" wrapText="1"/>
    </xf>
    <xf numFmtId="3" fontId="3" fillId="3" borderId="1" xfId="0" applyNumberFormat="1" applyFont="1" applyFill="1" applyBorder="1" applyAlignment="1">
      <alignment wrapText="1"/>
    </xf>
    <xf numFmtId="0" fontId="3" fillId="6" borderId="7" xfId="0" applyFont="1" applyFill="1" applyBorder="1" applyAlignment="1">
      <alignment wrapText="1"/>
    </xf>
    <xf numFmtId="0" fontId="3" fillId="6" borderId="1" xfId="0" applyFont="1" applyFill="1" applyBorder="1" applyAlignment="1">
      <alignment wrapText="1"/>
    </xf>
    <xf numFmtId="1" fontId="3" fillId="6" borderId="10" xfId="0" applyNumberFormat="1" applyFont="1" applyFill="1" applyBorder="1" applyAlignment="1">
      <alignment wrapText="1"/>
    </xf>
    <xf numFmtId="1" fontId="3" fillId="3" borderId="1" xfId="0" applyNumberFormat="1" applyFont="1" applyFill="1" applyBorder="1" applyAlignment="1">
      <alignment wrapText="1"/>
    </xf>
    <xf numFmtId="165" fontId="3" fillId="3" borderId="1" xfId="0" applyNumberFormat="1" applyFont="1" applyFill="1" applyBorder="1" applyAlignment="1">
      <alignment wrapText="1"/>
    </xf>
    <xf numFmtId="165" fontId="0" fillId="0" borderId="0" xfId="0" applyNumberFormat="1" applyAlignment="1">
      <alignment wrapText="1"/>
    </xf>
    <xf numFmtId="0" fontId="7" fillId="5" borderId="0" xfId="0" applyFont="1" applyFill="1" applyAlignment="1">
      <alignment wrapText="1"/>
    </xf>
    <xf numFmtId="11" fontId="0" fillId="5" borderId="0" xfId="0" applyNumberFormat="1" applyFill="1"/>
    <xf numFmtId="11" fontId="0" fillId="5" borderId="0" xfId="0" applyNumberFormat="1" applyFill="1" applyAlignment="1">
      <alignment wrapText="1"/>
    </xf>
    <xf numFmtId="164" fontId="0" fillId="0" borderId="0" xfId="0" applyNumberFormat="1" applyAlignment="1">
      <alignment wrapText="1"/>
    </xf>
    <xf numFmtId="1" fontId="0" fillId="0" borderId="0" xfId="0" applyNumberFormat="1"/>
    <xf numFmtId="168" fontId="0" fillId="0" borderId="0" xfId="2" applyNumberFormat="1" applyFont="1" applyAlignment="1">
      <alignment wrapText="1"/>
    </xf>
    <xf numFmtId="168" fontId="0" fillId="0" borderId="0" xfId="2" applyNumberFormat="1" applyFont="1"/>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indent="1"/>
      <protection locked="0"/>
    </xf>
    <xf numFmtId="3" fontId="14" fillId="0" borderId="1" xfId="0" applyNumberFormat="1" applyFont="1" applyBorder="1" applyAlignment="1" applyProtection="1">
      <alignment horizontal="right"/>
      <protection locked="0"/>
    </xf>
    <xf numFmtId="0" fontId="16" fillId="0" borderId="14" xfId="0" applyFont="1" applyBorder="1" applyProtection="1">
      <protection locked="0"/>
    </xf>
    <xf numFmtId="3" fontId="14" fillId="0" borderId="14" xfId="0" applyNumberFormat="1" applyFont="1" applyBorder="1" applyAlignment="1" applyProtection="1">
      <alignment horizontal="right"/>
      <protection locked="0"/>
    </xf>
    <xf numFmtId="0" fontId="15" fillId="0" borderId="13" xfId="0" applyFont="1" applyBorder="1" applyAlignment="1" applyProtection="1">
      <alignment horizontal="center" vertical="center"/>
      <protection locked="0"/>
    </xf>
    <xf numFmtId="0" fontId="14" fillId="0" borderId="7" xfId="0" applyFont="1" applyBorder="1" applyAlignment="1" applyProtection="1">
      <alignment vertical="center" wrapText="1"/>
      <protection locked="0"/>
    </xf>
    <xf numFmtId="165" fontId="0" fillId="0" borderId="0" xfId="1" applyNumberFormat="1" applyFont="1"/>
    <xf numFmtId="0" fontId="0" fillId="0" borderId="0" xfId="0" applyAlignment="1">
      <alignment horizontal="center"/>
    </xf>
    <xf numFmtId="0" fontId="0" fillId="0" borderId="0" xfId="0" applyAlignment="1">
      <alignment horizontal="center"/>
    </xf>
    <xf numFmtId="3" fontId="17" fillId="0" borderId="19" xfId="0" applyNumberFormat="1" applyFont="1" applyBorder="1" applyAlignment="1">
      <alignment horizontal="right" vertical="top" wrapText="1" shrinkToFit="1"/>
    </xf>
    <xf numFmtId="3" fontId="17" fillId="0" borderId="20" xfId="0" applyNumberFormat="1" applyFont="1" applyBorder="1" applyAlignment="1">
      <alignment horizontal="right" vertical="top" wrapText="1" shrinkToFit="1"/>
    </xf>
    <xf numFmtId="3" fontId="17" fillId="0" borderId="15" xfId="0" applyNumberFormat="1" applyFont="1" applyBorder="1" applyAlignment="1">
      <alignment horizontal="right" vertical="top" wrapText="1" shrinkToFit="1"/>
    </xf>
    <xf numFmtId="0" fontId="18" fillId="0" borderId="0" xfId="0" applyFont="1" applyAlignment="1">
      <alignment horizontal="center" vertical="top"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20" fillId="0" borderId="0" xfId="0" applyFont="1" applyAlignment="1">
      <alignment horizontal="left" vertical="top" wrapText="1"/>
    </xf>
    <xf numFmtId="0" fontId="19" fillId="0" borderId="19" xfId="0" applyFont="1" applyBorder="1" applyAlignment="1">
      <alignment horizontal="left" vertical="center" wrapText="1"/>
    </xf>
    <xf numFmtId="0" fontId="19" fillId="0" borderId="15" xfId="0" applyFont="1" applyBorder="1" applyAlignment="1">
      <alignment horizontal="right" vertical="top" wrapText="1"/>
    </xf>
    <xf numFmtId="0" fontId="20" fillId="0" borderId="15" xfId="0" applyFont="1" applyBorder="1" applyAlignment="1">
      <alignment horizontal="left" wrapText="1"/>
    </xf>
    <xf numFmtId="0" fontId="19" fillId="0" borderId="15" xfId="0" applyFont="1" applyBorder="1" applyAlignment="1">
      <alignment horizontal="left" vertical="center" wrapText="1"/>
    </xf>
    <xf numFmtId="0" fontId="19" fillId="0" borderId="19" xfId="0" applyFont="1" applyBorder="1" applyAlignment="1">
      <alignment horizontal="right" vertical="top" wrapText="1"/>
    </xf>
    <xf numFmtId="0" fontId="19" fillId="0" borderId="19" xfId="0" applyFont="1" applyBorder="1" applyAlignment="1">
      <alignment horizontal="left" vertical="top" wrapText="1"/>
    </xf>
    <xf numFmtId="0" fontId="19" fillId="0" borderId="15" xfId="0" applyFont="1" applyBorder="1" applyAlignment="1">
      <alignment horizontal="left" vertical="top" wrapText="1"/>
    </xf>
    <xf numFmtId="1" fontId="17" fillId="0" borderId="15" xfId="0" applyNumberFormat="1" applyFont="1" applyBorder="1" applyAlignment="1">
      <alignment horizontal="right" vertical="top" wrapText="1" shrinkToFit="1"/>
    </xf>
    <xf numFmtId="1" fontId="17" fillId="0" borderId="19" xfId="0" applyNumberFormat="1" applyFont="1" applyBorder="1" applyAlignment="1">
      <alignment horizontal="right" vertical="top" wrapText="1" shrinkToFit="1"/>
    </xf>
    <xf numFmtId="0" fontId="19" fillId="0" borderId="20" xfId="0" applyFont="1" applyBorder="1" applyAlignment="1">
      <alignment horizontal="left" vertical="top" wrapText="1"/>
    </xf>
    <xf numFmtId="1" fontId="17" fillId="0" borderId="20" xfId="0" applyNumberFormat="1" applyFont="1" applyBorder="1" applyAlignment="1">
      <alignment horizontal="right" vertical="top" wrapText="1" shrinkToFit="1"/>
    </xf>
    <xf numFmtId="0" fontId="19" fillId="0" borderId="20" xfId="0" applyFont="1" applyBorder="1" applyAlignment="1">
      <alignment horizontal="right" vertical="top" wrapText="1"/>
    </xf>
    <xf numFmtId="0" fontId="19" fillId="0" borderId="21" xfId="0" applyFont="1" applyBorder="1" applyAlignment="1">
      <alignment horizontal="center" vertical="top" wrapText="1"/>
    </xf>
    <xf numFmtId="3" fontId="17" fillId="0" borderId="21" xfId="0" applyNumberFormat="1" applyFont="1" applyBorder="1" applyAlignment="1">
      <alignment horizontal="right" vertical="top" wrapText="1" shrinkToFi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11" fontId="5" fillId="0" borderId="1" xfId="0" applyNumberFormat="1" applyFont="1" applyBorder="1" applyAlignment="1">
      <alignment horizontal="left" wrapText="1"/>
    </xf>
    <xf numFmtId="11" fontId="1" fillId="0" borderId="0" xfId="0" applyNumberFormat="1" applyFont="1"/>
    <xf numFmtId="0" fontId="1" fillId="0" borderId="0" xfId="0" applyFont="1"/>
    <xf numFmtId="0" fontId="0" fillId="8" borderId="0" xfId="0" applyFill="1"/>
    <xf numFmtId="0" fontId="21" fillId="0" borderId="0" xfId="0" applyFont="1" applyAlignment="1">
      <alignment horizontal="left"/>
    </xf>
    <xf numFmtId="0" fontId="22" fillId="0" borderId="0" xfId="0" applyFont="1"/>
    <xf numFmtId="0" fontId="23" fillId="0" borderId="0" xfId="0" applyFont="1" applyAlignment="1">
      <alignment horizontal="centerContinuous"/>
    </xf>
    <xf numFmtId="0" fontId="22" fillId="0" borderId="0" xfId="0" applyFont="1" applyAlignment="1">
      <alignment horizontal="centerContinuous"/>
    </xf>
    <xf numFmtId="0" fontId="23" fillId="0" borderId="22" xfId="0" applyFont="1" applyBorder="1" applyAlignment="1">
      <alignment wrapText="1"/>
    </xf>
    <xf numFmtId="0" fontId="23" fillId="0" borderId="22" xfId="0" applyFont="1" applyBorder="1" applyAlignment="1">
      <alignment horizontal="right" wrapText="1"/>
    </xf>
    <xf numFmtId="0" fontId="24" fillId="0" borderId="22" xfId="0" applyFont="1" applyBorder="1" applyAlignment="1">
      <alignment horizontal="right" wrapText="1"/>
    </xf>
    <xf numFmtId="0" fontId="22" fillId="0" borderId="23" xfId="0" applyFont="1" applyBorder="1" applyAlignment="1" applyProtection="1">
      <alignment wrapText="1"/>
      <protection locked="0"/>
    </xf>
    <xf numFmtId="3" fontId="22" fillId="0" borderId="23" xfId="0" applyNumberFormat="1" applyFont="1" applyBorder="1" applyAlignment="1">
      <alignment wrapText="1"/>
    </xf>
    <xf numFmtId="0" fontId="22" fillId="0" borderId="0" xfId="0" applyFont="1" applyProtection="1">
      <protection locked="0"/>
    </xf>
    <xf numFmtId="3" fontId="22" fillId="0" borderId="0" xfId="0" applyNumberFormat="1" applyFont="1"/>
    <xf numFmtId="1" fontId="23" fillId="0" borderId="22" xfId="0" applyNumberFormat="1" applyFont="1" applyBorder="1" applyAlignment="1">
      <alignment horizontal="right" wrapText="1"/>
    </xf>
    <xf numFmtId="0" fontId="24" fillId="0" borderId="22" xfId="0" applyFont="1" applyBorder="1" applyAlignment="1">
      <alignment wrapText="1"/>
    </xf>
    <xf numFmtId="1" fontId="0" fillId="0" borderId="0" xfId="0" pivotButton="1" applyNumberFormat="1"/>
    <xf numFmtId="1" fontId="0" fillId="0" borderId="0" xfId="0" applyNumberFormat="1" applyAlignment="1">
      <alignment horizontal="left"/>
    </xf>
    <xf numFmtId="165" fontId="0" fillId="7" borderId="0" xfId="2" applyNumberFormat="1" applyFont="1" applyFill="1"/>
    <xf numFmtId="169" fontId="0" fillId="0" borderId="0" xfId="2" applyNumberFormat="1" applyFont="1"/>
    <xf numFmtId="165" fontId="0" fillId="0" borderId="0" xfId="2" applyNumberFormat="1" applyFont="1"/>
    <xf numFmtId="165" fontId="1" fillId="0" borderId="0" xfId="0" applyNumberFormat="1" applyFont="1"/>
    <xf numFmtId="0" fontId="0" fillId="0" borderId="0" xfId="0" applyAlignment="1">
      <alignment horizontal="center" wrapText="1"/>
    </xf>
    <xf numFmtId="170" fontId="0" fillId="0" borderId="0" xfId="1" applyNumberFormat="1" applyFont="1"/>
    <xf numFmtId="2" fontId="0" fillId="0" borderId="0" xfId="0" applyNumberFormat="1"/>
    <xf numFmtId="3" fontId="0" fillId="0" borderId="0" xfId="0" applyNumberFormat="1"/>
    <xf numFmtId="0" fontId="0" fillId="0" borderId="0" xfId="0" pivotButton="1"/>
    <xf numFmtId="0" fontId="0" fillId="0" borderId="0" xfId="0" applyAlignment="1">
      <alignment horizontal="left"/>
    </xf>
    <xf numFmtId="42" fontId="0" fillId="0" borderId="0" xfId="1" applyNumberFormat="1" applyFont="1"/>
    <xf numFmtId="42" fontId="0" fillId="0" borderId="0" xfId="0" applyNumberFormat="1"/>
    <xf numFmtId="165" fontId="0" fillId="0" borderId="0" xfId="0" applyNumberFormat="1" applyAlignment="1">
      <alignment horizontal="left"/>
    </xf>
    <xf numFmtId="0" fontId="25" fillId="0" borderId="0" xfId="0" applyFont="1"/>
    <xf numFmtId="0" fontId="26" fillId="0" borderId="0" xfId="0" applyFont="1"/>
    <xf numFmtId="0" fontId="28" fillId="0" borderId="0" xfId="0" applyFont="1"/>
    <xf numFmtId="0" fontId="0" fillId="0" borderId="0" xfId="0" applyAlignment="1">
      <alignment vertical="center"/>
    </xf>
    <xf numFmtId="0" fontId="30"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36" fillId="0" borderId="0" xfId="3" applyAlignment="1">
      <alignment vertical="center"/>
    </xf>
    <xf numFmtId="0" fontId="34" fillId="0" borderId="0" xfId="0" applyFont="1" applyAlignment="1">
      <alignment vertical="center"/>
    </xf>
    <xf numFmtId="165" fontId="29" fillId="0" borderId="0" xfId="0" applyNumberFormat="1" applyFont="1"/>
    <xf numFmtId="0" fontId="17" fillId="0" borderId="0" xfId="0" applyFont="1" applyAlignment="1">
      <alignment horizontal="left" vertical="center" indent="2"/>
    </xf>
    <xf numFmtId="0" fontId="20" fillId="0" borderId="0" xfId="0" applyFont="1" applyAlignment="1">
      <alignment horizontal="left" vertical="center" indent="2"/>
    </xf>
    <xf numFmtId="0" fontId="35" fillId="0" borderId="0" xfId="0" applyFont="1" applyAlignment="1">
      <alignment horizontal="left" vertical="center" indent="2"/>
    </xf>
    <xf numFmtId="0" fontId="36" fillId="0" borderId="0" xfId="3" applyAlignment="1">
      <alignment horizontal="left" vertical="center" indent="2"/>
    </xf>
    <xf numFmtId="0" fontId="34" fillId="0" borderId="0" xfId="0" applyFont="1" applyAlignment="1">
      <alignment horizontal="left" vertical="center" indent="2"/>
    </xf>
    <xf numFmtId="0" fontId="37" fillId="0" borderId="0" xfId="0" applyFont="1"/>
    <xf numFmtId="0" fontId="29" fillId="0" borderId="0" xfId="0" applyFont="1"/>
    <xf numFmtId="0" fontId="31" fillId="0" borderId="0" xfId="0" applyFont="1"/>
    <xf numFmtId="0" fontId="36" fillId="0" borderId="0" xfId="3"/>
    <xf numFmtId="0" fontId="0" fillId="0" borderId="0" xfId="0" applyAlignment="1">
      <alignment horizontal="left" wrapText="1"/>
    </xf>
    <xf numFmtId="165" fontId="1" fillId="0" borderId="0" xfId="0" applyNumberFormat="1" applyFont="1" applyAlignment="1">
      <alignment horizontal="left"/>
    </xf>
    <xf numFmtId="3" fontId="43" fillId="0" borderId="14" xfId="0" applyNumberFormat="1" applyFont="1" applyBorder="1" applyAlignment="1" applyProtection="1">
      <alignment horizontal="right"/>
      <protection locked="0"/>
    </xf>
    <xf numFmtId="1" fontId="43" fillId="0" borderId="14" xfId="0" applyNumberFormat="1" applyFont="1" applyBorder="1" applyProtection="1">
      <protection locked="0"/>
    </xf>
    <xf numFmtId="3" fontId="44" fillId="0" borderId="1" xfId="0" applyNumberFormat="1" applyFont="1" applyBorder="1" applyAlignment="1" applyProtection="1">
      <alignment horizontal="right"/>
      <protection locked="0"/>
    </xf>
    <xf numFmtId="1" fontId="43" fillId="0" borderId="0" xfId="0" applyNumberFormat="1" applyFont="1"/>
    <xf numFmtId="170" fontId="43" fillId="0" borderId="14" xfId="1" applyNumberFormat="1" applyFont="1" applyBorder="1" applyProtection="1">
      <protection locked="0"/>
    </xf>
    <xf numFmtId="170" fontId="43" fillId="0" borderId="0" xfId="1" applyNumberFormat="1" applyFont="1"/>
    <xf numFmtId="0" fontId="27" fillId="0" borderId="0" xfId="0" applyFont="1" applyAlignment="1"/>
    <xf numFmtId="0" fontId="27" fillId="0" borderId="0" xfId="0" applyFont="1" applyAlignment="1">
      <alignment vertical="top"/>
    </xf>
    <xf numFmtId="168" fontId="0" fillId="0" borderId="0" xfId="2" applyNumberFormat="1" applyFont="1" applyFill="1"/>
    <xf numFmtId="1" fontId="0" fillId="0" borderId="25" xfId="0" applyNumberFormat="1" applyBorder="1" applyAlignment="1">
      <alignment horizontal="center"/>
    </xf>
    <xf numFmtId="1" fontId="0" fillId="0" borderId="26" xfId="0" applyNumberFormat="1" applyBorder="1" applyAlignment="1">
      <alignment horizontal="center"/>
    </xf>
    <xf numFmtId="1" fontId="0" fillId="0" borderId="27" xfId="0" applyNumberForma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2" fillId="0" borderId="24" xfId="0" applyFont="1" applyBorder="1" applyAlignment="1" applyProtection="1">
      <alignment vertical="top" wrapText="1"/>
      <protection locked="0"/>
    </xf>
    <xf numFmtId="0" fontId="27" fillId="0" borderId="0" xfId="0" applyFont="1" applyAlignment="1">
      <alignment horizontal="center" wrapText="1"/>
    </xf>
    <xf numFmtId="0" fontId="1" fillId="0" borderId="0" xfId="0" applyFont="1" applyAlignment="1">
      <alignment horizontal="center"/>
    </xf>
    <xf numFmtId="0" fontId="0" fillId="0" borderId="0" xfId="0" applyAlignment="1">
      <alignment horizontal="center"/>
    </xf>
    <xf numFmtId="0" fontId="6" fillId="2" borderId="0" xfId="0" applyFont="1" applyFill="1" applyAlignment="1">
      <alignment horizontal="left" wrapText="1"/>
    </xf>
    <xf numFmtId="0" fontId="2" fillId="2" borderId="0" xfId="0" applyFont="1" applyFill="1" applyAlignment="1">
      <alignment horizontal="left" wrapText="1"/>
    </xf>
    <xf numFmtId="0" fontId="29" fillId="2" borderId="0" xfId="0" applyFont="1" applyFill="1" applyAlignment="1">
      <alignment horizontal="center" wrapText="1"/>
    </xf>
    <xf numFmtId="0" fontId="2" fillId="2" borderId="0" xfId="0" applyFont="1" applyFill="1" applyAlignment="1">
      <alignment horizont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36" fillId="0" borderId="19" xfId="3" applyBorder="1" applyAlignment="1">
      <alignment horizontal="center" vertical="center" wrapText="1"/>
    </xf>
    <xf numFmtId="0" fontId="36" fillId="0" borderId="20" xfId="3"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0">
    <dxf>
      <numFmt numFmtId="165" formatCode="&quot;$&quot;#,##0"/>
    </dxf>
    <dxf>
      <numFmt numFmtId="1" formatCode="0"/>
    </dxf>
    <dxf>
      <numFmt numFmtId="1" formatCode="0"/>
    </dxf>
    <dxf>
      <numFmt numFmtId="1" formatCode="0"/>
    </dxf>
    <dxf>
      <numFmt numFmtId="1" formatCode="0"/>
    </dxf>
    <dxf>
      <numFmt numFmtId="1" formatCode="0"/>
    </dxf>
    <dxf>
      <numFmt numFmtId="165" formatCode="&quot;$&quot;#,##0"/>
    </dxf>
    <dxf>
      <numFmt numFmtId="165" formatCode="&quot;$&quot;#,##0"/>
    </dxf>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connections" Target="connection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586740</xdr:colOff>
          <xdr:row>0</xdr:row>
          <xdr:rowOff>106680</xdr:rowOff>
        </xdr:from>
        <xdr:to>
          <xdr:col>11</xdr:col>
          <xdr:colOff>129540</xdr:colOff>
          <xdr:row>32</xdr:row>
          <xdr:rowOff>114300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Tanton" refreshedDate="43755.24712847222" createdVersion="6" refreshedVersion="6" minRefreshableVersion="3" recordCount="50" xr:uid="{E24610CE-0563-49CD-A437-AD6D75A881D1}">
  <cacheSource type="worksheet">
    <worksheetSource ref="B4:J54" sheet="Rounded Renewables"/>
  </cacheSource>
  <cacheFields count="9">
    <cacheField name="State" numFmtId="11">
      <sharedItems count="50">
        <s v="Alabama"/>
        <s v="Alaska"/>
        <s v="Arizona"/>
        <s v="Arkansas"/>
        <s v="California"/>
        <s v="Colorado"/>
        <s v="Connecticut"/>
        <s v="Delaware"/>
        <s v="Florida"/>
        <s v="Georgia"/>
        <s v="Hawaii"/>
        <s v="Idaho"/>
        <s v="Illinois"/>
        <s v="Indiana"/>
        <s v="Iowa"/>
        <s v="Kansas"/>
        <s v="Kentucky"/>
        <s v="Louisiana"/>
        <s v="Maine"/>
        <s v="Maryland"/>
        <s v="Massachusetts"/>
        <s v="Michigan"/>
        <s v="Minnesota"/>
        <s v="Mississippi"/>
        <s v="Missouri"/>
        <s v="Montana"/>
        <s v="Nebraska"/>
        <s v="Nevada"/>
        <s v="New Hampshire"/>
        <s v="New Jersey"/>
        <s v="New Mexico"/>
        <s v="New York"/>
        <s v="North Carolina"/>
        <s v="North Dakota"/>
        <s v="Ohio"/>
        <s v="Oklahoma"/>
        <s v="Oregon"/>
        <s v="Pennsylvania"/>
        <s v="Rhode Island"/>
        <s v="South Carolina"/>
        <s v="South Dakota"/>
        <s v="Tennessee"/>
        <s v="Texas"/>
        <s v="Utah"/>
        <s v="Vermont"/>
        <s v="Virginia"/>
        <s v="Washington"/>
        <s v="West Virginia"/>
        <s v="Wisconsin"/>
        <s v="Wyoming"/>
      </sharedItems>
    </cacheField>
    <cacheField name="100% Renewable Electric" numFmtId="42">
      <sharedItems containsSemiMixedTypes="0" containsString="0" containsNumber="1" containsInteger="1" minValue="4000000000" maxValue="322000000000"/>
    </cacheField>
    <cacheField name="Transportation" numFmtId="42">
      <sharedItems containsSemiMixedTypes="0" containsString="0" containsNumber="1" containsInteger="1" minValue="9000000000" maxValue="593000000000"/>
    </cacheField>
    <cacheField name="Direct Use" numFmtId="42">
      <sharedItems containsSemiMixedTypes="0" containsString="0" containsNumber="1" containsInteger="1" minValue="1000000000" maxValue="990000000000"/>
    </cacheField>
    <cacheField name="Household Cost" numFmtId="42">
      <sharedItems containsSemiMixedTypes="0" containsString="0" containsNumber="1" containsInteger="1" minValue="2000000000" maxValue="103000000000"/>
    </cacheField>
    <cacheField name="Commercial Bldg Cost" numFmtId="42">
      <sharedItems containsSemiMixedTypes="0" containsString="0" containsNumber="1" containsInteger="1" minValue="14000000000" maxValue="931000000000"/>
    </cacheField>
    <cacheField name="Vehicle Cost" numFmtId="42">
      <sharedItems containsSemiMixedTypes="0" containsString="0" containsNumber="1" containsInteger="1" minValue="10000000000" maxValue="471000000000"/>
    </cacheField>
    <cacheField name="Off Road" numFmtId="42">
      <sharedItems containsSemiMixedTypes="0" containsString="0" containsNumber="1" containsInteger="1" minValue="1000000000" maxValue="61000000000"/>
    </cacheField>
    <cacheField name="TOTAL" numFmtId="42">
      <sharedItems containsSemiMixedTypes="0" containsString="0" containsNumber="1" containsInteger="1" minValue="50000000000" maxValue="3157000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Tanton" refreshedDate="43755.250768518519" createdVersion="6" refreshedVersion="6" minRefreshableVersion="3" recordCount="50" xr:uid="{C2CE2CDB-3068-41BE-B243-E2342CFCAC70}">
  <cacheSource type="worksheet">
    <worksheetSource ref="C4:J54" sheet="Rounded Dispatchable"/>
  </cacheSource>
  <cacheFields count="8">
    <cacheField name="State" numFmtId="11">
      <sharedItems count="50">
        <s v="Alabama"/>
        <s v="Alaska"/>
        <s v="Arizona"/>
        <s v="Arkansas"/>
        <s v="California"/>
        <s v="Colorado"/>
        <s v="Connecticut"/>
        <s v="Delaware"/>
        <s v="Florida"/>
        <s v="Georgia"/>
        <s v="Hawaii"/>
        <s v="Idaho"/>
        <s v="Illinois"/>
        <s v="Indiana"/>
        <s v="Iowa"/>
        <s v="Kansas"/>
        <s v="Kentucky"/>
        <s v="Louisiana"/>
        <s v="Maine"/>
        <s v="Maryland"/>
        <s v="Massachusetts"/>
        <s v="Michigan"/>
        <s v="Minnesota"/>
        <s v="Mississippi"/>
        <s v="Missouri"/>
        <s v="Montana"/>
        <s v="Nebraska"/>
        <s v="Nevada"/>
        <s v="New Hampshire"/>
        <s v="New Jersey"/>
        <s v="New Mexico"/>
        <s v="New York"/>
        <s v="North Carolina"/>
        <s v="North Dakota"/>
        <s v="Ohio"/>
        <s v="Oklahoma"/>
        <s v="Oregon"/>
        <s v="Pennsylvania"/>
        <s v="Rhode Island"/>
        <s v="South Carolina"/>
        <s v="South Dakota"/>
        <s v="Tennessee"/>
        <s v="Texas"/>
        <s v="Utah"/>
        <s v="Vermont"/>
        <s v="Virginia"/>
        <s v="Washington"/>
        <s v="West Virginia"/>
        <s v="Wisconsin"/>
        <s v="Wyoming"/>
      </sharedItems>
    </cacheField>
    <cacheField name="Transportation" numFmtId="165">
      <sharedItems containsSemiMixedTypes="0" containsString="0" containsNumber="1" containsInteger="1" minValue="3000000000" maxValue="203000000000"/>
    </cacheField>
    <cacheField name="Direct Use" numFmtId="165">
      <sharedItems containsSemiMixedTypes="0" containsString="0" containsNumber="1" containsInteger="1" minValue="0" maxValue="339000000000"/>
    </cacheField>
    <cacheField name="Household Cost" numFmtId="165">
      <sharedItems containsSemiMixedTypes="0" containsString="0" containsNumber="1" containsInteger="1" minValue="2000000000" maxValue="103000000000"/>
    </cacheField>
    <cacheField name="Commercial Bldg Cost" numFmtId="165">
      <sharedItems containsSemiMixedTypes="0" containsString="0" containsNumber="1" containsInteger="1" minValue="14000000000" maxValue="931000000000"/>
    </cacheField>
    <cacheField name="Vehicle Cost" numFmtId="165">
      <sharedItems containsSemiMixedTypes="0" containsString="0" containsNumber="1" containsInteger="1" minValue="10000000000" maxValue="471000000000"/>
    </cacheField>
    <cacheField name="Off Road" numFmtId="165">
      <sharedItems containsSemiMixedTypes="0" containsString="0" containsNumber="1" containsInteger="1" minValue="0" maxValue="21000000000"/>
    </cacheField>
    <cacheField name="TOTAL" numFmtId="165">
      <sharedItems containsSemiMixedTypes="0" containsString="0" containsNumber="1" containsInteger="1" minValue="35000000000" maxValue="1895000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Tanton" refreshedDate="43886.413646527777" createdVersion="6" refreshedVersion="6" minRefreshableVersion="3" recordCount="50" xr:uid="{C457A26F-9A92-45F3-904A-2E3D44735982}">
  <cacheSource type="worksheet">
    <worksheetSource ref="I5:M55" sheet="emissions"/>
  </cacheSource>
  <cacheFields count="5">
    <cacheField name="state" numFmtId="0">
      <sharedItems count="50">
        <s v="Alabama"/>
        <s v="Alaska"/>
        <s v="Arizona"/>
        <s v="Arkansas"/>
        <s v="California"/>
        <s v="Colorado"/>
        <s v="Connecticut"/>
        <s v="Delaware"/>
        <s v="Florida"/>
        <s v="Georgia"/>
        <s v="Hawaii"/>
        <s v="Idaho"/>
        <s v="Illinois"/>
        <s v="Indiana"/>
        <s v="Iowa"/>
        <s v="Kansas"/>
        <s v="Kentucky"/>
        <s v="Louisiana"/>
        <s v="Maine"/>
        <s v="Maryland"/>
        <s v="Massachusetts"/>
        <s v="Michigan"/>
        <s v="Minnesota"/>
        <s v="Mississippi"/>
        <s v="Missouri"/>
        <s v="Montana"/>
        <s v="Nebraska"/>
        <s v="Nevada"/>
        <s v="New Hampshire"/>
        <s v="New Jersey"/>
        <s v="New Mexico"/>
        <s v="New York"/>
        <s v="North Carolina"/>
        <s v="North Dakota"/>
        <s v="Ohio"/>
        <s v="Oklahoma"/>
        <s v="Oregon"/>
        <s v="Pennsylvania"/>
        <s v="Rhode Island"/>
        <s v="South Carolina"/>
        <s v="South Dakota"/>
        <s v="Tennessee"/>
        <s v="Texas"/>
        <s v="Utah"/>
        <s v="Vermont"/>
        <s v="Virginia"/>
        <s v="Washington"/>
        <s v="West Virginia"/>
        <s v="Wisconsin"/>
        <s v="Wyoming"/>
      </sharedItems>
    </cacheField>
    <cacheField name="Commercial" numFmtId="168">
      <sharedItems containsSemiMixedTypes="0" containsString="0" containsNumber="1" minValue="2207.2532534527468" maxValue="15092.109018718744"/>
    </cacheField>
    <cacheField name="Electric power" numFmtId="168">
      <sharedItems containsSemiMixedTypes="0" containsString="0" containsNumber="1" minValue="33.426326203763423" maxValue="110034.97980527811"/>
    </cacheField>
    <cacheField name="Residential" numFmtId="168">
      <sharedItems containsSemiMixedTypes="0" containsString="0" containsNumber="1" minValue="271.17568592897339" maxValue="17734.860339238978"/>
    </cacheField>
    <cacheField name="Transportation" numFmtId="168">
      <sharedItems containsSemiMixedTypes="0" containsString="0" containsNumber="1" minValue="1068.7674751998502" maxValue="59509.5749727473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73000000000"/>
    <n v="94000000000"/>
    <n v="171000000000"/>
    <n v="8000000000"/>
    <n v="134000000000"/>
    <n v="92000000000"/>
    <n v="5000000000"/>
    <n v="576000000000"/>
  </r>
  <r>
    <x v="1"/>
    <n v="5000000000"/>
    <n v="9000000000"/>
    <n v="88000000000"/>
    <n v="2000000000"/>
    <n v="17000000000"/>
    <n v="16000000000"/>
    <n v="1000000000"/>
    <n v="139000000000"/>
  </r>
  <r>
    <x v="2"/>
    <n v="64000000000"/>
    <n v="112000000000"/>
    <n v="82000000000"/>
    <n v="19000000000"/>
    <n v="169000000000"/>
    <n v="97000000000"/>
    <n v="7000000000"/>
    <n v="550000000000"/>
  </r>
  <r>
    <x v="3"/>
    <n v="39000000000"/>
    <n v="53000000000"/>
    <n v="81000000000"/>
    <n v="5000000000"/>
    <n v="83000000000"/>
    <n v="50000000000"/>
    <n v="3000000000"/>
    <n v="313000000000"/>
  </r>
  <r>
    <x v="4"/>
    <n v="181000000000"/>
    <n v="538000000000"/>
    <n v="538000000000"/>
    <n v="103000000000"/>
    <n v="931000000000"/>
    <n v="471000000000"/>
    <n v="61000000000"/>
    <n v="2823000000000"/>
  </r>
  <r>
    <x v="5"/>
    <n v="41000000000"/>
    <n v="89000000000"/>
    <n v="112000000000"/>
    <n v="15000000000"/>
    <n v="134000000000"/>
    <n v="90000000000"/>
    <n v="8000000000"/>
    <n v="488000000000"/>
  </r>
  <r>
    <x v="6"/>
    <n v="24000000000"/>
    <n v="58000000000"/>
    <n v="61000000000"/>
    <n v="11000000000"/>
    <n v="99000000000"/>
    <n v="45000000000"/>
    <n v="5000000000"/>
    <n v="303000000000"/>
  </r>
  <r>
    <x v="7"/>
    <n v="9000000000"/>
    <n v="18000000000"/>
    <n v="25000000000"/>
    <n v="3000000000"/>
    <n v="27000000000"/>
    <n v="16000000000"/>
    <n v="2000000000"/>
    <n v="101000000000"/>
  </r>
  <r>
    <x v="8"/>
    <n v="192000000000"/>
    <n v="274000000000"/>
    <n v="355000000000"/>
    <n v="33000000000"/>
    <n v="585000000000"/>
    <n v="260000000000"/>
    <n v="21000000000"/>
    <n v="1721000000000"/>
  </r>
  <r>
    <x v="9"/>
    <n v="104000000000"/>
    <n v="185000000000"/>
    <n v="177000000000"/>
    <n v="16000000000"/>
    <n v="289000000000"/>
    <n v="137000000000"/>
    <n v="12000000000"/>
    <n v="921000000000"/>
  </r>
  <r>
    <x v="10"/>
    <n v="7000000000"/>
    <n v="17000000000"/>
    <n v="1000000000"/>
    <n v="4000000000"/>
    <n v="33000000000"/>
    <n v="21000000000"/>
    <n v="2000000000"/>
    <n v="84000000000"/>
  </r>
  <r>
    <x v="11"/>
    <n v="19000000000"/>
    <n v="28000000000"/>
    <n v="28000000000"/>
    <n v="5000000000"/>
    <n v="41000000000"/>
    <n v="33000000000"/>
    <n v="2000000000"/>
    <n v="156000000000"/>
  </r>
  <r>
    <x v="12"/>
    <n v="113000000000"/>
    <n v="176000000000"/>
    <n v="253000000000"/>
    <n v="38000000000"/>
    <n v="353000000000"/>
    <n v="168000000000"/>
    <n v="18000000000"/>
    <n v="1118000000000"/>
  </r>
  <r>
    <x v="13"/>
    <n v="63000000000"/>
    <n v="115000000000"/>
    <n v="188000000000"/>
    <n v="20000000000"/>
    <n v="185000000000"/>
    <n v="105000000000"/>
    <n v="8000000000"/>
    <n v="685000000000"/>
  </r>
  <r>
    <x v="14"/>
    <n v="32000000000"/>
    <n v="43000000000"/>
    <n v="99000000000"/>
    <n v="9000000000"/>
    <n v="87000000000"/>
    <n v="63000000000"/>
    <n v="4000000000"/>
    <n v="337000000000"/>
  </r>
  <r>
    <x v="15"/>
    <n v="34000000000"/>
    <n v="61000000000"/>
    <n v="69000000000"/>
    <n v="9000000000"/>
    <n v="81000000000"/>
    <n v="46000000000"/>
    <n v="3000000000"/>
    <n v="303000000000"/>
  </r>
  <r>
    <x v="16"/>
    <n v="61000000000"/>
    <n v="76000000000"/>
    <n v="73000000000"/>
    <n v="7000000000"/>
    <n v="123000000000"/>
    <n v="72000000000"/>
    <n v="4000000000"/>
    <n v="416000000000"/>
  </r>
  <r>
    <x v="17"/>
    <n v="54000000000"/>
    <n v="105000000000"/>
    <n v="404000000000"/>
    <n v="7000000000"/>
    <n v="128000000000"/>
    <n v="69000000000"/>
    <n v="5000000000"/>
    <n v="772000000000"/>
  </r>
  <r>
    <x v="18"/>
    <n v="9000000000"/>
    <n v="27000000000"/>
    <n v="13000000000"/>
    <n v="4000000000"/>
    <n v="37000000000"/>
    <n v="19000000000"/>
    <n v="1000000000"/>
    <n v="111000000000"/>
  </r>
  <r>
    <x v="19"/>
    <n v="48000000000"/>
    <n v="74000000000"/>
    <n v="57000000000"/>
    <n v="19000000000"/>
    <n v="167000000000"/>
    <n v="66000000000"/>
    <n v="8000000000"/>
    <n v="440000000000"/>
  </r>
  <r>
    <x v="20"/>
    <n v="43000000000"/>
    <n v="89000000000"/>
    <n v="115000000000"/>
    <n v="22000000000"/>
    <n v="191000000000"/>
    <n v="81000000000"/>
    <n v="12000000000"/>
    <n v="553000000000"/>
  </r>
  <r>
    <x v="21"/>
    <n v="74000000000"/>
    <n v="174000000000"/>
    <n v="223000000000"/>
    <n v="30000000000"/>
    <n v="277000000000"/>
    <n v="142000000000"/>
    <n v="11000000000"/>
    <n v="931000000000"/>
  </r>
  <r>
    <x v="22"/>
    <n v="57000000000"/>
    <n v="85000000000"/>
    <n v="118000000000"/>
    <n v="17000000000"/>
    <n v="155000000000"/>
    <n v="90000000000"/>
    <n v="8000000000"/>
    <n v="529000000000"/>
  </r>
  <r>
    <x v="23"/>
    <n v="40000000000"/>
    <n v="63000000000"/>
    <n v="136000000000"/>
    <n v="5000000000"/>
    <n v="82000000000"/>
    <n v="36000000000"/>
    <n v="3000000000"/>
    <n v="364000000000"/>
  </r>
  <r>
    <x v="24"/>
    <n v="62000000000"/>
    <n v="108000000000"/>
    <n v="66000000000"/>
    <n v="9000000000"/>
    <n v="168000000000"/>
    <n v="97000000000"/>
    <n v="6000000000"/>
    <n v="518000000000"/>
  </r>
  <r>
    <x v="25"/>
    <n v="11000000000"/>
    <n v="28000000000"/>
    <n v="20000000000"/>
    <n v="3000000000"/>
    <n v="25000000000"/>
    <n v="30000000000"/>
    <n v="1000000000"/>
    <n v="118000000000"/>
  </r>
  <r>
    <x v="26"/>
    <n v="22000000000"/>
    <n v="31000000000"/>
    <n v="42000000000"/>
    <n v="6000000000"/>
    <n v="53000000000"/>
    <n v="35000000000"/>
    <n v="3000000000"/>
    <n v="192000000000"/>
  </r>
  <r>
    <x v="27"/>
    <n v="29000000000"/>
    <n v="45000000000"/>
    <n v="75000000000"/>
    <n v="8000000000"/>
    <n v="71000000000"/>
    <n v="39000000000"/>
    <n v="3000000000"/>
    <n v="270000000000"/>
  </r>
  <r>
    <x v="28"/>
    <n v="9000000000"/>
    <n v="21000000000"/>
    <n v="13000000000"/>
    <n v="4000000000"/>
    <n v="38000000000"/>
    <n v="22000000000"/>
    <n v="2000000000"/>
    <n v="108000000000"/>
  </r>
  <r>
    <x v="29"/>
    <n v="56000000000"/>
    <n v="139000000000"/>
    <n v="181000000000"/>
    <n v="29000000000"/>
    <n v="247000000000"/>
    <n v="94000000000"/>
    <n v="13000000000"/>
    <n v="757000000000"/>
  </r>
  <r>
    <x v="30"/>
    <n v="19000000000"/>
    <n v="39000000000"/>
    <n v="61000000000"/>
    <n v="5000000000"/>
    <n v="49000000000"/>
    <n v="32000000000"/>
    <n v="2000000000"/>
    <n v="208000000000"/>
  </r>
  <r>
    <x v="31"/>
    <n v="119000000000"/>
    <n v="208000000000"/>
    <n v="320000000000"/>
    <n v="63000000000"/>
    <n v="541000000000"/>
    <n v="181000000000"/>
    <n v="34000000000"/>
    <n v="1465000000000"/>
  </r>
  <r>
    <x v="32"/>
    <n v="92000000000"/>
    <n v="166000000000"/>
    <n v="130000000000"/>
    <n v="16000000000"/>
    <n v="285000000000"/>
    <n v="138000000000"/>
    <n v="12000000000"/>
    <n v="839000000000"/>
  </r>
  <r>
    <x v="33"/>
    <n v="17000000000"/>
    <n v="15000000000"/>
    <n v="29000000000"/>
    <n v="2000000000"/>
    <n v="21000000000"/>
    <n v="17000000000"/>
    <n v="1000000000"/>
    <n v="102000000000"/>
  </r>
  <r>
    <x v="34"/>
    <n v="98000000000"/>
    <n v="182000000000"/>
    <n v="241000000000"/>
    <n v="35000000000"/>
    <n v="324000000000"/>
    <n v="173000000000"/>
    <n v="14000000000"/>
    <n v="1066000000000"/>
  </r>
  <r>
    <x v="35"/>
    <n v="47000000000"/>
    <n v="77000000000"/>
    <n v="171000000000"/>
    <n v="12000000000"/>
    <n v="109000000000"/>
    <n v="65000000000"/>
    <n v="4000000000"/>
    <n v="485000000000"/>
  </r>
  <r>
    <x v="36"/>
    <n v="42000000000"/>
    <n v="58000000000"/>
    <n v="59000000000"/>
    <n v="11000000000"/>
    <n v="99000000000"/>
    <n v="65000000000"/>
    <n v="5000000000"/>
    <n v="339000000000"/>
  </r>
  <r>
    <x v="37"/>
    <n v="117000000000"/>
    <n v="131000000000"/>
    <n v="322000000000"/>
    <n v="41000000000"/>
    <n v="355000000000"/>
    <n v="176000000000"/>
    <n v="16000000000"/>
    <n v="1156000000000"/>
  </r>
  <r>
    <x v="38"/>
    <n v="6000000000"/>
    <n v="25000000000"/>
    <n v="21000000000"/>
    <n v="3000000000"/>
    <n v="29000000000"/>
    <n v="13000000000"/>
    <n v="1000000000"/>
    <n v="100000000000"/>
  </r>
  <r>
    <x v="39"/>
    <n v="53000000000"/>
    <n v="99000000000"/>
    <n v="70000000000"/>
    <n v="8000000000"/>
    <n v="140000000000"/>
    <n v="72000000000"/>
    <n v="5000000000"/>
    <n v="446000000000"/>
  </r>
  <r>
    <x v="40"/>
    <n v="10000000000"/>
    <n v="17000000000"/>
    <n v="21000000000"/>
    <n v="3000000000"/>
    <n v="24000000000"/>
    <n v="22000000000"/>
    <n v="1000000000"/>
    <n v="98000000000"/>
  </r>
  <r>
    <x v="41"/>
    <n v="74000000000"/>
    <n v="131000000000"/>
    <n v="82000000000"/>
    <n v="10000000000"/>
    <n v="186000000000"/>
    <n v="96000000000"/>
    <n v="8000000000"/>
    <n v="588000000000"/>
  </r>
  <r>
    <x v="42"/>
    <n v="322000000000"/>
    <n v="593000000000"/>
    <n v="990000000000"/>
    <n v="44000000000"/>
    <n v="789000000000"/>
    <n v="382000000000"/>
    <n v="37000000000"/>
    <n v="3157000000000"/>
  </r>
  <r>
    <x v="43"/>
    <n v="19000000000"/>
    <n v="50000000000"/>
    <n v="57000000000"/>
    <n v="8000000000"/>
    <n v="74000000000"/>
    <n v="39000000000"/>
    <n v="4000000000"/>
    <n v="251000000000"/>
  </r>
  <r>
    <x v="44"/>
    <n v="4000000000"/>
    <n v="12000000000"/>
    <n v="3000000000"/>
    <n v="2000000000"/>
    <n v="17000000000"/>
    <n v="10000000000"/>
    <n v="1000000000"/>
    <n v="50000000000"/>
  </r>
  <r>
    <x v="45"/>
    <n v="90000000000"/>
    <n v="125000000000"/>
    <n v="148000000000"/>
    <n v="13000000000"/>
    <n v="234000000000"/>
    <n v="119000000000"/>
    <n v="11000000000"/>
    <n v="741000000000"/>
  </r>
  <r>
    <x v="46"/>
    <n v="78000000000"/>
    <n v="107000000000"/>
    <n v="82000000000"/>
    <n v="20000000000"/>
    <n v="177000000000"/>
    <n v="117000000000"/>
    <n v="12000000000"/>
    <n v="593000000000"/>
  </r>
  <r>
    <x v="47"/>
    <n v="26000000000"/>
    <n v="28000000000"/>
    <n v="48000000000"/>
    <n v="3000000000"/>
    <n v="50000000000"/>
    <n v="30000000000"/>
    <n v="2000000000"/>
    <n v="187000000000"/>
  </r>
  <r>
    <x v="48"/>
    <n v="55000000000"/>
    <n v="94000000000"/>
    <n v="123000000000"/>
    <n v="17000000000"/>
    <n v="161000000000"/>
    <n v="92000000000"/>
    <n v="7000000000"/>
    <n v="550000000000"/>
  </r>
  <r>
    <x v="49"/>
    <n v="13000000000"/>
    <n v="14000000000"/>
    <n v="32000000000"/>
    <n v="2000000000"/>
    <n v="14000000000"/>
    <n v="17000000000"/>
    <n v="1000000000"/>
    <n v="92000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32000000000"/>
    <n v="58000000000"/>
    <n v="8000000000"/>
    <n v="134000000000"/>
    <n v="92000000000"/>
    <n v="2000000000"/>
    <n v="327000000000"/>
  </r>
  <r>
    <x v="1"/>
    <n v="3000000000"/>
    <n v="30000000000"/>
    <n v="2000000000"/>
    <n v="17000000000"/>
    <n v="16000000000"/>
    <n v="0"/>
    <n v="69000000000"/>
  </r>
  <r>
    <x v="2"/>
    <n v="38000000000"/>
    <n v="28000000000"/>
    <n v="19000000000"/>
    <n v="169000000000"/>
    <n v="97000000000"/>
    <n v="2000000000"/>
    <n v="354000000000"/>
  </r>
  <r>
    <x v="3"/>
    <n v="18000000000"/>
    <n v="28000000000"/>
    <n v="5000000000"/>
    <n v="83000000000"/>
    <n v="50000000000"/>
    <n v="1000000000"/>
    <n v="185000000000"/>
  </r>
  <r>
    <x v="4"/>
    <n v="184000000000"/>
    <n v="184000000000"/>
    <n v="103000000000"/>
    <n v="931000000000"/>
    <n v="471000000000"/>
    <n v="21000000000"/>
    <n v="1895000000000"/>
  </r>
  <r>
    <x v="5"/>
    <n v="31000000000"/>
    <n v="38000000000"/>
    <n v="15000000000"/>
    <n v="134000000000"/>
    <n v="90000000000"/>
    <n v="3000000000"/>
    <n v="310000000000"/>
  </r>
  <r>
    <x v="6"/>
    <n v="20000000000"/>
    <n v="21000000000"/>
    <n v="11000000000"/>
    <n v="99000000000"/>
    <n v="45000000000"/>
    <n v="2000000000"/>
    <n v="198000000000"/>
  </r>
  <r>
    <x v="7"/>
    <n v="6000000000"/>
    <n v="9000000000"/>
    <n v="3000000000"/>
    <n v="27000000000"/>
    <n v="16000000000"/>
    <n v="1000000000"/>
    <n v="62000000000"/>
  </r>
  <r>
    <x v="8"/>
    <n v="94000000000"/>
    <n v="122000000000"/>
    <n v="33000000000"/>
    <n v="585000000000"/>
    <n v="260000000000"/>
    <n v="7000000000"/>
    <n v="1102000000000"/>
  </r>
  <r>
    <x v="9"/>
    <n v="64000000000"/>
    <n v="61000000000"/>
    <n v="16000000000"/>
    <n v="289000000000"/>
    <n v="137000000000"/>
    <n v="4000000000"/>
    <n v="571000000000"/>
  </r>
  <r>
    <x v="10"/>
    <n v="6000000000"/>
    <n v="0"/>
    <n v="4000000000"/>
    <n v="33000000000"/>
    <n v="21000000000"/>
    <n v="1000000000"/>
    <n v="65000000000"/>
  </r>
  <r>
    <x v="11"/>
    <n v="10000000000"/>
    <n v="10000000000"/>
    <n v="5000000000"/>
    <n v="41000000000"/>
    <n v="33000000000"/>
    <n v="1000000000"/>
    <n v="99000000000"/>
  </r>
  <r>
    <x v="12"/>
    <n v="60000000000"/>
    <n v="87000000000"/>
    <n v="38000000000"/>
    <n v="353000000000"/>
    <n v="168000000000"/>
    <n v="6000000000"/>
    <n v="712000000000"/>
  </r>
  <r>
    <x v="13"/>
    <n v="39000000000"/>
    <n v="65000000000"/>
    <n v="20000000000"/>
    <n v="185000000000"/>
    <n v="105000000000"/>
    <n v="3000000000"/>
    <n v="417000000000"/>
  </r>
  <r>
    <x v="14"/>
    <n v="15000000000"/>
    <n v="34000000000"/>
    <n v="9000000000"/>
    <n v="87000000000"/>
    <n v="63000000000"/>
    <n v="1000000000"/>
    <n v="210000000000"/>
  </r>
  <r>
    <x v="15"/>
    <n v="21000000000"/>
    <n v="24000000000"/>
    <n v="9000000000"/>
    <n v="81000000000"/>
    <n v="46000000000"/>
    <n v="1000000000"/>
    <n v="181000000000"/>
  </r>
  <r>
    <x v="16"/>
    <n v="26000000000"/>
    <n v="25000000000"/>
    <n v="7000000000"/>
    <n v="123000000000"/>
    <n v="72000000000"/>
    <n v="1000000000"/>
    <n v="254000000000"/>
  </r>
  <r>
    <x v="17"/>
    <n v="36000000000"/>
    <n v="139000000000"/>
    <n v="7000000000"/>
    <n v="128000000000"/>
    <n v="69000000000"/>
    <n v="2000000000"/>
    <n v="380000000000"/>
  </r>
  <r>
    <x v="18"/>
    <n v="9000000000"/>
    <n v="4000000000"/>
    <n v="4000000000"/>
    <n v="37000000000"/>
    <n v="19000000000"/>
    <n v="0"/>
    <n v="74000000000"/>
  </r>
  <r>
    <x v="19"/>
    <n v="25000000000"/>
    <n v="19000000000"/>
    <n v="19000000000"/>
    <n v="167000000000"/>
    <n v="66000000000"/>
    <n v="3000000000"/>
    <n v="300000000000"/>
  </r>
  <r>
    <x v="20"/>
    <n v="30000000000"/>
    <n v="39000000000"/>
    <n v="22000000000"/>
    <n v="191000000000"/>
    <n v="81000000000"/>
    <n v="4000000000"/>
    <n v="368000000000"/>
  </r>
  <r>
    <x v="21"/>
    <n v="60000000000"/>
    <n v="76000000000"/>
    <n v="30000000000"/>
    <n v="277000000000"/>
    <n v="142000000000"/>
    <n v="4000000000"/>
    <n v="589000000000"/>
  </r>
  <r>
    <x v="22"/>
    <n v="29000000000"/>
    <n v="40000000000"/>
    <n v="17000000000"/>
    <n v="155000000000"/>
    <n v="90000000000"/>
    <n v="3000000000"/>
    <n v="335000000000"/>
  </r>
  <r>
    <x v="23"/>
    <n v="22000000000"/>
    <n v="47000000000"/>
    <n v="5000000000"/>
    <n v="82000000000"/>
    <n v="36000000000"/>
    <n v="1000000000"/>
    <n v="191000000000"/>
  </r>
  <r>
    <x v="24"/>
    <n v="37000000000"/>
    <n v="23000000000"/>
    <n v="9000000000"/>
    <n v="168000000000"/>
    <n v="97000000000"/>
    <n v="2000000000"/>
    <n v="337000000000"/>
  </r>
  <r>
    <x v="25"/>
    <n v="10000000000"/>
    <n v="7000000000"/>
    <n v="3000000000"/>
    <n v="25000000000"/>
    <n v="30000000000"/>
    <n v="0"/>
    <n v="74000000000"/>
  </r>
  <r>
    <x v="26"/>
    <n v="11000000000"/>
    <n v="14000000000"/>
    <n v="6000000000"/>
    <n v="53000000000"/>
    <n v="35000000000"/>
    <n v="1000000000"/>
    <n v="120000000000"/>
  </r>
  <r>
    <x v="27"/>
    <n v="15000000000"/>
    <n v="26000000000"/>
    <n v="8000000000"/>
    <n v="71000000000"/>
    <n v="39000000000"/>
    <n v="1000000000"/>
    <n v="161000000000"/>
  </r>
  <r>
    <x v="28"/>
    <n v="7000000000"/>
    <n v="5000000000"/>
    <n v="4000000000"/>
    <n v="38000000000"/>
    <n v="22000000000"/>
    <n v="1000000000"/>
    <n v="76000000000"/>
  </r>
  <r>
    <x v="29"/>
    <n v="48000000000"/>
    <n v="62000000000"/>
    <n v="29000000000"/>
    <n v="247000000000"/>
    <n v="94000000000"/>
    <n v="4000000000"/>
    <n v="483000000000"/>
  </r>
  <r>
    <x v="30"/>
    <n v="13000000000"/>
    <n v="21000000000"/>
    <n v="5000000000"/>
    <n v="49000000000"/>
    <n v="32000000000"/>
    <n v="1000000000"/>
    <n v="122000000000"/>
  </r>
  <r>
    <x v="31"/>
    <n v="71000000000"/>
    <n v="110000000000"/>
    <n v="63000000000"/>
    <n v="541000000000"/>
    <n v="181000000000"/>
    <n v="12000000000"/>
    <n v="977000000000"/>
  </r>
  <r>
    <x v="32"/>
    <n v="57000000000"/>
    <n v="44000000000"/>
    <n v="16000000000"/>
    <n v="285000000000"/>
    <n v="138000000000"/>
    <n v="4000000000"/>
    <n v="545000000000"/>
  </r>
  <r>
    <x v="33"/>
    <n v="5000000000"/>
    <n v="10000000000"/>
    <n v="2000000000"/>
    <n v="21000000000"/>
    <n v="17000000000"/>
    <n v="0"/>
    <n v="55000000000"/>
  </r>
  <r>
    <x v="34"/>
    <n v="62000000000"/>
    <n v="83000000000"/>
    <n v="35000000000"/>
    <n v="324000000000"/>
    <n v="173000000000"/>
    <n v="5000000000"/>
    <n v="681000000000"/>
  </r>
  <r>
    <x v="35"/>
    <n v="26000000000"/>
    <n v="59000000000"/>
    <n v="12000000000"/>
    <n v="109000000000"/>
    <n v="65000000000"/>
    <n v="1000000000"/>
    <n v="272000000000"/>
  </r>
  <r>
    <x v="36"/>
    <n v="20000000000"/>
    <n v="20000000000"/>
    <n v="11000000000"/>
    <n v="99000000000"/>
    <n v="65000000000"/>
    <n v="2000000000"/>
    <n v="216000000000"/>
  </r>
  <r>
    <x v="37"/>
    <n v="45000000000"/>
    <n v="110000000000"/>
    <n v="41000000000"/>
    <n v="355000000000"/>
    <n v="176000000000"/>
    <n v="5000000000"/>
    <n v="732000000000"/>
  </r>
  <r>
    <x v="38"/>
    <n v="9000000000"/>
    <n v="7000000000"/>
    <n v="3000000000"/>
    <n v="29000000000"/>
    <n v="13000000000"/>
    <n v="0"/>
    <n v="62000000000"/>
  </r>
  <r>
    <x v="39"/>
    <n v="34000000000"/>
    <n v="24000000000"/>
    <n v="8000000000"/>
    <n v="140000000000"/>
    <n v="72000000000"/>
    <n v="2000000000"/>
    <n v="279000000000"/>
  </r>
  <r>
    <x v="40"/>
    <n v="6000000000"/>
    <n v="7000000000"/>
    <n v="3000000000"/>
    <n v="24000000000"/>
    <n v="22000000000"/>
    <n v="0"/>
    <n v="62000000000"/>
  </r>
  <r>
    <x v="41"/>
    <n v="45000000000"/>
    <n v="28000000000"/>
    <n v="10000000000"/>
    <n v="186000000000"/>
    <n v="96000000000"/>
    <n v="3000000000"/>
    <n v="368000000000"/>
  </r>
  <r>
    <x v="42"/>
    <n v="203000000000"/>
    <n v="339000000000"/>
    <n v="44000000000"/>
    <n v="789000000000"/>
    <n v="382000000000"/>
    <n v="13000000000"/>
    <n v="1770000000000"/>
  </r>
  <r>
    <x v="43"/>
    <n v="17000000000"/>
    <n v="19000000000"/>
    <n v="8000000000"/>
    <n v="74000000000"/>
    <n v="39000000000"/>
    <n v="1000000000"/>
    <n v="159000000000"/>
  </r>
  <r>
    <x v="44"/>
    <n v="4000000000"/>
    <n v="1000000000"/>
    <n v="2000000000"/>
    <n v="17000000000"/>
    <n v="10000000000"/>
    <n v="0"/>
    <n v="35000000000"/>
  </r>
  <r>
    <x v="45"/>
    <n v="43000000000"/>
    <n v="51000000000"/>
    <n v="13000000000"/>
    <n v="234000000000"/>
    <n v="119000000000"/>
    <n v="4000000000"/>
    <n v="464000000000"/>
  </r>
  <r>
    <x v="46"/>
    <n v="37000000000"/>
    <n v="28000000000"/>
    <n v="20000000000"/>
    <n v="177000000000"/>
    <n v="117000000000"/>
    <n v="4000000000"/>
    <n v="383000000000"/>
  </r>
  <r>
    <x v="47"/>
    <n v="10000000000"/>
    <n v="16000000000"/>
    <n v="3000000000"/>
    <n v="50000000000"/>
    <n v="30000000000"/>
    <n v="1000000000"/>
    <n v="109000000000"/>
  </r>
  <r>
    <x v="48"/>
    <n v="32000000000"/>
    <n v="42000000000"/>
    <n v="17000000000"/>
    <n v="161000000000"/>
    <n v="92000000000"/>
    <n v="2000000000"/>
    <n v="347000000000"/>
  </r>
  <r>
    <x v="49"/>
    <n v="5000000000"/>
    <n v="11000000000"/>
    <n v="2000000000"/>
    <n v="14000000000"/>
    <n v="17000000000"/>
    <n v="0"/>
    <n v="480000000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9895.5865781213852"/>
    <n v="131.39708101107465"/>
    <n v="4974.0928731726435"/>
    <n v="9700.4671937855983"/>
  </r>
  <r>
    <x v="1"/>
    <n v="3023.0726899637084"/>
    <n v="188.25764480080727"/>
    <n v="3074.3843587438032"/>
    <n v="1068.7674751998502"/>
  </r>
  <r>
    <x v="2"/>
    <n v="7308.1812302584094"/>
    <n v="144.83368040051215"/>
    <n v="2725.9037547520229"/>
    <n v="11480.476487877362"/>
  </r>
  <r>
    <x v="3"/>
    <n v="4198.8161938945932"/>
    <n v="128.45228334828514"/>
    <n v="2717.4714189376182"/>
    <n v="5586.5148152868969"/>
  </r>
  <r>
    <x v="4"/>
    <n v="6358.8827750847086"/>
    <n v="494.44956859588467"/>
    <n v="1543.2375140416129"/>
    <n v="54033.769242787384"/>
  </r>
  <r>
    <x v="5"/>
    <n v="4860.8321920349163"/>
    <n v="115.54861386846538"/>
    <n v="948.03351139485119"/>
    <n v="9248.9576541363858"/>
  </r>
  <r>
    <x v="6"/>
    <n v="3306.2542696148575"/>
    <n v="338.67586782472387"/>
    <n v="667.23486298555542"/>
    <n v="6079.247216701001"/>
  </r>
  <r>
    <x v="7"/>
    <n v="4260.354853064453"/>
    <n v="262.92996354611552"/>
    <n v="1889.4559222951823"/>
    <n v="2149.3525397434159"/>
  </r>
  <r>
    <x v="8"/>
    <n v="10391.735591192924"/>
    <n v="181.56644161028237"/>
    <n v="17734.860339238978"/>
    <n v="27644.919029315701"/>
  </r>
  <r>
    <x v="9"/>
    <n v="8221.7050009623745"/>
    <n v="180.71459990532011"/>
    <n v="1533.6997863923862"/>
    <n v="18795.68067534723"/>
  </r>
  <r>
    <x v="10"/>
    <n v="10306.079385471214"/>
    <n v="103.42758356089331"/>
    <n v="9263.7745144242617"/>
    <n v="1937.25244026773"/>
  </r>
  <r>
    <x v="11"/>
    <n v="4055.0197910113307"/>
    <n v="1553.8503053235399"/>
    <n v="1144.310587131635"/>
    <n v="3113.2580005879531"/>
  </r>
  <r>
    <x v="12"/>
    <n v="3600.825489683783"/>
    <n v="170.3951061732273"/>
    <n v="743.82216939775083"/>
    <n v="17835.277931651628"/>
  </r>
  <r>
    <x v="13"/>
    <n v="5338.2656453786985"/>
    <n v="75.811774618465776"/>
    <n v="1499.7579843697476"/>
    <n v="11695.804598407694"/>
  </r>
  <r>
    <x v="14"/>
    <n v="3930.4028007657889"/>
    <n v="128.15634211738237"/>
    <n v="1436.2333412479181"/>
    <n v="4554.809799662602"/>
  </r>
  <r>
    <x v="15"/>
    <n v="4822.4796810923681"/>
    <n v="138.31150011667225"/>
    <n v="1288.8826114423944"/>
    <n v="6303.898760710339"/>
  </r>
  <r>
    <x v="16"/>
    <n v="5845.4864365796966"/>
    <n v="84.029997671910749"/>
    <n v="1504.1442492915623"/>
    <n v="7810.8835039255682"/>
  </r>
  <r>
    <x v="17"/>
    <n v="15092.109018718744"/>
    <n v="148.68113254440377"/>
    <n v="11578.547911260468"/>
    <n v="10642.843696367185"/>
  </r>
  <r>
    <x v="18"/>
    <n v="2677.658408040837"/>
    <n v="625.5215850967885"/>
    <n v="361.08998912192953"/>
    <n v="2929.6054648514591"/>
  </r>
  <r>
    <x v="19"/>
    <n v="3797.2747272977617"/>
    <n v="280.53607920687796"/>
    <n v="872.60486356171782"/>
    <n v="7596.6638061293961"/>
  </r>
  <r>
    <x v="20"/>
    <n v="3542.793387552038"/>
    <n v="400.19977224691513"/>
    <n v="699.87636330706107"/>
    <n v="9150.6404605938296"/>
  </r>
  <r>
    <x v="21"/>
    <n v="3790.2604751380318"/>
    <n v="133.95909998851562"/>
    <n v="758.34575240077834"/>
    <n v="17709.347939276831"/>
  </r>
  <r>
    <x v="22"/>
    <n v="3376.4563353513618"/>
    <n v="213.57765824416589"/>
    <n v="938.67761638807508"/>
    <n v="8769.7418636004131"/>
  </r>
  <r>
    <x v="23"/>
    <n v="9616.2730630392562"/>
    <n v="155.38706378120503"/>
    <n v="5092.3734913057879"/>
    <n v="6461.1355366851385"/>
  </r>
  <r>
    <x v="24"/>
    <n v="4750.8410889930183"/>
    <n v="100.51133711194245"/>
    <n v="759.43777837702032"/>
    <n v="11085.178226989452"/>
  </r>
  <r>
    <x v="25"/>
    <n v="2553.2965313515633"/>
    <n v="71.034270443479215"/>
    <n v="892.45037733356821"/>
    <n v="3167.7854851518646"/>
  </r>
  <r>
    <x v="26"/>
    <n v="4091.3614128829927"/>
    <n v="106.20765508219898"/>
    <n v="1219.3668799064997"/>
    <n v="3334.5778332532568"/>
  </r>
  <r>
    <x v="27"/>
    <n v="4807.053638079261"/>
    <n v="206.80279791361141"/>
    <n v="1977.8991494665822"/>
    <n v="4712.1674987180004"/>
  </r>
  <r>
    <x v="28"/>
    <n v="3186.9193481723987"/>
    <n v="382.70600020181564"/>
    <n v="436.96893393793948"/>
    <n v="2404.3159644242546"/>
  </r>
  <r>
    <x v="29"/>
    <n v="3357.1510741143875"/>
    <n v="283.14613629857377"/>
    <n v="877.73094765586302"/>
    <n v="14035.702886185152"/>
  </r>
  <r>
    <x v="30"/>
    <n v="4702.9888471532631"/>
    <n v="82.748915611991379"/>
    <n v="1713.8495020554676"/>
    <n v="4121.4074042995298"/>
  </r>
  <r>
    <x v="31"/>
    <n v="3238.2037832794913"/>
    <n v="427.72523293089557"/>
    <n v="728.10464632461401"/>
    <n v="21040.726705409557"/>
  </r>
  <r>
    <x v="32"/>
    <n v="6663.8858256496223"/>
    <n v="181.39924245181209"/>
    <n v="1587.7574357112169"/>
    <n v="16898.539338765229"/>
  </r>
  <r>
    <x v="33"/>
    <n v="3537.1905466347916"/>
    <n v="58.89153442748264"/>
    <n v="1811.7119498773613"/>
    <n v="1682.9805344529552"/>
  </r>
  <r>
    <x v="34"/>
    <n v="4041.7680355925354"/>
    <n v="121.76814197219699"/>
    <n v="960.9357759190998"/>
    <n v="18436.049624518269"/>
  </r>
  <r>
    <x v="35"/>
    <n v="6511.2366769585724"/>
    <n v="133.13471031234531"/>
    <n v="3028.9305523931471"/>
    <n v="7928.8521752841662"/>
  </r>
  <r>
    <x v="36"/>
    <n v="6033.7945497480259"/>
    <n v="540.7540388708743"/>
    <n v="1616.4529539987018"/>
    <n v="6147.8725306466986"/>
  </r>
  <r>
    <x v="37"/>
    <n v="4843.2637331163296"/>
    <n v="141.99362335088483"/>
    <n v="1097.0355406718868"/>
    <n v="13344.348937538538"/>
  </r>
  <r>
    <x v="38"/>
    <n v="4627.989296054182"/>
    <n v="240.70500625146016"/>
    <n v="765.93528793367659"/>
    <n v="2895.0991934585813"/>
  </r>
  <r>
    <x v="39"/>
    <n v="8068.0437927361472"/>
    <n v="193.38894229140186"/>
    <n v="2402.524377553897"/>
    <n v="10095.901678491289"/>
  </r>
  <r>
    <x v="40"/>
    <n v="4726.3633663469755"/>
    <n v="400.02824991264555"/>
    <n v="1367.3210705915194"/>
    <n v="2008.8123261443911"/>
  </r>
  <r>
    <x v="41"/>
    <n v="6160.0082509817394"/>
    <n v="207.65170548172128"/>
    <n v="1421.3864420140858"/>
    <n v="13360.016615808974"/>
  </r>
  <r>
    <x v="42"/>
    <n v="10164.036764144706"/>
    <n v="155.09090432464453"/>
    <n v="4999.3087064047249"/>
    <n v="59509.574972747374"/>
  </r>
  <r>
    <x v="43"/>
    <n v="3914.6742254550309"/>
    <n v="68.738794763172038"/>
    <n v="1000.631966188925"/>
    <n v="5233.2437895142866"/>
  </r>
  <r>
    <x v="44"/>
    <n v="2207.2532534527468"/>
    <n v="110034.97980527811"/>
    <n v="271.17568592897339"/>
    <n v="1461.5929331476721"/>
  </r>
  <r>
    <x v="45"/>
    <n v="5357.801635963845"/>
    <n v="268.64381065879178"/>
    <n v="1527.969988996937"/>
    <n v="12756.13464695211"/>
  </r>
  <r>
    <x v="46"/>
    <n v="4997.9717241813696"/>
    <n v="814.04758564426299"/>
    <n v="1194.0088602159287"/>
    <n v="10984.769498278827"/>
  </r>
  <r>
    <x v="47"/>
    <n v="4392.6053924699545"/>
    <n v="38.175993617528796"/>
    <n v="1652.4069238225609"/>
    <n v="3054.9294735337139"/>
  </r>
  <r>
    <x v="48"/>
    <n v="3776.8682697427366"/>
    <n v="143.783635726082"/>
    <n v="914.13292603717071"/>
    <n v="9716.0858195877281"/>
  </r>
  <r>
    <x v="49"/>
    <n v="2680.152163547843"/>
    <n v="33.426326203763423"/>
    <n v="2064.4687531218692"/>
    <n v="1617.60815245026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09C791-F283-427B-8359-691B7EF24FA7}"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54" firstHeaderRow="0" firstDataRow="1" firstDataCol="1"/>
  <pivotFields count="9">
    <pivotField axis="axisRow" showAl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dataField="1" numFmtId="42" showAll="0"/>
    <pivotField dataField="1" numFmtId="42" showAll="0"/>
    <pivotField dataField="1" numFmtId="42" showAll="0"/>
    <pivotField dataField="1" numFmtId="42" showAll="0"/>
    <pivotField dataField="1" numFmtId="42" showAll="0"/>
    <pivotField dataField="1" numFmtId="42" showAll="0"/>
    <pivotField dataField="1" numFmtId="42" showAll="0"/>
    <pivotField dataField="1" numFmtId="42" showAll="0"/>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Fields count="1">
    <field x="-2"/>
  </colFields>
  <colItems count="8">
    <i>
      <x/>
    </i>
    <i i="1">
      <x v="1"/>
    </i>
    <i i="2">
      <x v="2"/>
    </i>
    <i i="3">
      <x v="3"/>
    </i>
    <i i="4">
      <x v="4"/>
    </i>
    <i i="5">
      <x v="5"/>
    </i>
    <i i="6">
      <x v="6"/>
    </i>
    <i i="7">
      <x v="7"/>
    </i>
  </colItems>
  <dataFields count="8">
    <dataField name="Sum of 100% Renewable Electric" fld="1" baseField="0" baseItem="0"/>
    <dataField name="Sum of Transportation" fld="2" baseField="0" baseItem="0"/>
    <dataField name="Sum of Direct Use" fld="3" baseField="0" baseItem="0"/>
    <dataField name="Sum of Household Cost" fld="4" baseField="0" baseItem="0"/>
    <dataField name="Sum of Commercial Bldg Cost" fld="5" baseField="0" baseItem="0"/>
    <dataField name="Sum of Vehicle Cost" fld="6" baseField="0" baseItem="0"/>
    <dataField name="Sum of Off Road" fld="7" baseField="0" baseItem="0"/>
    <dataField name="Sum of TOTAL" fld="8" baseField="0" baseItem="0"/>
  </dataFields>
  <formats count="3">
    <format dxfId="9">
      <pivotArea outline="0" collapsedLevelsAreSubtotals="1" fieldPosition="0"/>
    </format>
    <format dxfId="8">
      <pivotArea dataOnly="0" labelOnly="1" fieldPosition="0">
        <references count="1">
          <reference field="0"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7D8DC5D-7B35-4207-AACC-2ED5FE9E0273}"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54" firstHeaderRow="0" firstDataRow="1" firstDataCol="1"/>
  <pivotFields count="8">
    <pivotField axis="axisRow" showAl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dataField="1" numFmtId="165" showAll="0"/>
    <pivotField dataField="1" numFmtId="165" showAll="0"/>
    <pivotField dataField="1" numFmtId="165" showAll="0"/>
    <pivotField dataField="1" numFmtId="165" showAll="0"/>
    <pivotField dataField="1" numFmtId="165" showAll="0"/>
    <pivotField dataField="1" numFmtId="165" showAll="0"/>
    <pivotField dataField="1" numFmtId="165" showAll="0"/>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Fields count="1">
    <field x="-2"/>
  </colFields>
  <colItems count="7">
    <i>
      <x/>
    </i>
    <i i="1">
      <x v="1"/>
    </i>
    <i i="2">
      <x v="2"/>
    </i>
    <i i="3">
      <x v="3"/>
    </i>
    <i i="4">
      <x v="4"/>
    </i>
    <i i="5">
      <x v="5"/>
    </i>
    <i i="6">
      <x v="6"/>
    </i>
  </colItems>
  <dataFields count="7">
    <dataField name="Sum of Transportation" fld="1" baseField="0" baseItem="0"/>
    <dataField name="Sum of Direct Use" fld="2" baseField="0" baseItem="0"/>
    <dataField name="Sum of Household Cost" fld="3" baseField="0" baseItem="0"/>
    <dataField name="Sum of Commercial Bldg Cost" fld="4" baseField="0" baseItem="0"/>
    <dataField name="Sum of Vehicle Cost" fld="5" baseField="0" baseItem="0"/>
    <dataField name="Sum of Off Road" fld="6" baseField="0" baseItem="0"/>
    <dataField name="Sum of TOTAL" fld="7" baseField="0" baseItem="0"/>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FD4847-713D-47AA-9CB9-53C16FDFF33F}"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54" firstHeaderRow="0" firstDataRow="1" firstDataCol="1"/>
  <pivotFields count="5">
    <pivotField axis="axisRow" showAl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dataField="1" numFmtId="1" showAll="0"/>
    <pivotField dataField="1" numFmtId="1" showAll="0"/>
    <pivotField dataField="1" numFmtId="1" showAll="0"/>
    <pivotField dataField="1" numFmtId="1" showAll="0"/>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Fields count="1">
    <field x="-2"/>
  </colFields>
  <colItems count="4">
    <i>
      <x/>
    </i>
    <i i="1">
      <x v="1"/>
    </i>
    <i i="2">
      <x v="2"/>
    </i>
    <i i="3">
      <x v="3"/>
    </i>
  </colItems>
  <dataFields count="4">
    <dataField name="Sum of Commercial" fld="1" baseField="0" baseItem="0"/>
    <dataField name="Sum of Electric power" fld="2" baseField="0" baseItem="0"/>
    <dataField name="Sum of Residential" fld="3" baseField="0" baseItem="0"/>
    <dataField name="Sum of Transportation" fld="4" baseField="0" baseItem="0"/>
  </dataFields>
  <formats count="6">
    <format dxfId="5">
      <pivotArea type="all" dataOnly="0" outline="0"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grandRow="1" outline="0" fieldPosition="0"/>
    </format>
    <format dxfId="1">
      <pivotArea dataOnly="0" labelOnly="1" outline="0" fieldPosition="0">
        <references count="1">
          <reference field="4294967294" count="4">
            <x v="0"/>
            <x v="1"/>
            <x v="2"/>
            <x v="3"/>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fhwa.dot.gov/policyinformation/statistics/2017/mv1.cf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hyperlink" Target="https://apps.dana.com/commercial-vehicles/tco/" TargetMode="External"/><Relationship Id="rId2" Type="http://schemas.openxmlformats.org/officeDocument/2006/relationships/hyperlink" Target="https://uspirg.org/sites/pirg/files/reports/ElectricBusesInAmerica/US_Electric_bus_scrn.pdf" TargetMode="External"/><Relationship Id="rId1" Type="http://schemas.openxmlformats.org/officeDocument/2006/relationships/hyperlink" Target="https://www.mckinsey.com/industries/automotive-and-assembly/our-insights/making-electric-vehicles-profitable"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0F8A5-2EF5-43D5-92C3-EBFB3D20345D}">
  <dimension ref="A1"/>
  <sheetViews>
    <sheetView topLeftCell="B9" workbookViewId="0">
      <selection activeCell="Q28" sqref="Q28"/>
    </sheetView>
  </sheetViews>
  <sheetFormatPr defaultRowHeight="14.4" x14ac:dyDescent="0.3"/>
  <sheetData/>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Word.Document.12" shapeId="20481" r:id="rId4">
          <objectPr defaultSize="0" r:id="rId5">
            <anchor moveWithCells="1">
              <from>
                <xdr:col>0</xdr:col>
                <xdr:colOff>586740</xdr:colOff>
                <xdr:row>0</xdr:row>
                <xdr:rowOff>106680</xdr:rowOff>
              </from>
              <to>
                <xdr:col>11</xdr:col>
                <xdr:colOff>129540</xdr:colOff>
                <xdr:row>32</xdr:row>
                <xdr:rowOff>114300</xdr:rowOff>
              </to>
            </anchor>
          </objectPr>
        </oleObject>
      </mc:Choice>
      <mc:Fallback>
        <oleObject progId="Word.Document.12" shapeId="2048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116C-ED3E-46DA-A467-07BB7B773ACA}">
  <dimension ref="B2:J55"/>
  <sheetViews>
    <sheetView workbookViewId="0">
      <selection activeCell="B2" sqref="B2"/>
    </sheetView>
  </sheetViews>
  <sheetFormatPr defaultRowHeight="14.4" x14ac:dyDescent="0.3"/>
  <cols>
    <col min="2" max="2" width="13.21875" customWidth="1"/>
    <col min="3" max="3" width="20.88671875" customWidth="1"/>
    <col min="4" max="4" width="19.109375" customWidth="1"/>
    <col min="5" max="5" width="20.109375" customWidth="1"/>
    <col min="6" max="6" width="19.21875" customWidth="1"/>
    <col min="7" max="7" width="17.6640625" customWidth="1"/>
    <col min="8" max="8" width="18.5546875" customWidth="1"/>
    <col min="9" max="9" width="17.21875" bestFit="1" customWidth="1"/>
    <col min="10" max="10" width="19.6640625" bestFit="1" customWidth="1"/>
  </cols>
  <sheetData>
    <row r="2" spans="2:10" x14ac:dyDescent="0.3">
      <c r="B2" t="s">
        <v>478</v>
      </c>
    </row>
    <row r="3" spans="2:10" x14ac:dyDescent="0.3">
      <c r="B3" s="12"/>
    </row>
    <row r="4" spans="2:10" x14ac:dyDescent="0.3">
      <c r="B4" s="11" t="s">
        <v>345</v>
      </c>
      <c r="C4" t="s">
        <v>346</v>
      </c>
      <c r="D4" t="s">
        <v>5</v>
      </c>
      <c r="E4" t="s">
        <v>347</v>
      </c>
      <c r="F4" t="s">
        <v>348</v>
      </c>
      <c r="G4" t="s">
        <v>349</v>
      </c>
      <c r="H4" t="s">
        <v>350</v>
      </c>
      <c r="I4" t="s">
        <v>452</v>
      </c>
      <c r="J4" t="s">
        <v>309</v>
      </c>
    </row>
    <row r="5" spans="2:10" x14ac:dyDescent="0.3">
      <c r="B5" s="105" t="s">
        <v>9</v>
      </c>
      <c r="C5" s="134">
        <f>ROUND('Master Summary Renewables'!C5,-9)</f>
        <v>73000000000</v>
      </c>
      <c r="D5" s="134">
        <f>ROUND('Master Summary Renewables'!D5,-9)</f>
        <v>94000000000</v>
      </c>
      <c r="E5" s="134">
        <f>ROUND('Master Summary Renewables'!E5,-9)</f>
        <v>171000000000</v>
      </c>
      <c r="F5" s="134">
        <f>ROUND('Master Summary Renewables'!F5,-9)</f>
        <v>8000000000</v>
      </c>
      <c r="G5" s="134">
        <f>ROUND('Master Summary Renewables'!G5,-9)</f>
        <v>134000000000</v>
      </c>
      <c r="H5" s="134">
        <f>ROUND('Master Summary Renewables'!H5,-9)</f>
        <v>92000000000</v>
      </c>
      <c r="I5" s="134">
        <f>ROUND('Master Summary Renewables'!I5,-9)</f>
        <v>5000000000</v>
      </c>
      <c r="J5" s="134">
        <f>ROUND('Master Summary Renewables'!J5,-9)</f>
        <v>576000000000</v>
      </c>
    </row>
    <row r="6" spans="2:10" x14ac:dyDescent="0.3">
      <c r="B6" s="105" t="s">
        <v>10</v>
      </c>
      <c r="C6" s="134">
        <f>ROUND('Master Summary Renewables'!C6,-9)</f>
        <v>5000000000</v>
      </c>
      <c r="D6" s="134">
        <f>ROUND('Master Summary Renewables'!D6,-9)</f>
        <v>9000000000</v>
      </c>
      <c r="E6" s="134">
        <f>ROUND('Master Summary Renewables'!E6,-9)</f>
        <v>88000000000</v>
      </c>
      <c r="F6" s="134">
        <f>ROUND('Master Summary Renewables'!F6,-9)</f>
        <v>2000000000</v>
      </c>
      <c r="G6" s="134">
        <f>ROUND('Master Summary Renewables'!G6,-9)</f>
        <v>17000000000</v>
      </c>
      <c r="H6" s="134">
        <f>ROUND('Master Summary Renewables'!H6,-9)</f>
        <v>16000000000</v>
      </c>
      <c r="I6" s="134">
        <f>ROUND('Master Summary Renewables'!I6,-9)</f>
        <v>1000000000</v>
      </c>
      <c r="J6" s="134">
        <f>ROUND('Master Summary Renewables'!J6,-9)</f>
        <v>139000000000</v>
      </c>
    </row>
    <row r="7" spans="2:10" x14ac:dyDescent="0.3">
      <c r="B7" s="105" t="s">
        <v>11</v>
      </c>
      <c r="C7" s="134">
        <f>ROUND('Master Summary Renewables'!C7,-9)</f>
        <v>64000000000</v>
      </c>
      <c r="D7" s="134">
        <f>ROUND('Master Summary Renewables'!D7,-9)</f>
        <v>112000000000</v>
      </c>
      <c r="E7" s="134">
        <f>ROUND('Master Summary Renewables'!E7,-9)</f>
        <v>82000000000</v>
      </c>
      <c r="F7" s="134">
        <f>ROUND('Master Summary Renewables'!F7,-9)</f>
        <v>19000000000</v>
      </c>
      <c r="G7" s="134">
        <f>ROUND('Master Summary Renewables'!G7,-9)</f>
        <v>169000000000</v>
      </c>
      <c r="H7" s="134">
        <f>ROUND('Master Summary Renewables'!H7,-9)</f>
        <v>97000000000</v>
      </c>
      <c r="I7" s="134">
        <f>ROUND('Master Summary Renewables'!I7,-9)</f>
        <v>7000000000</v>
      </c>
      <c r="J7" s="134">
        <f>ROUND('Master Summary Renewables'!J7,-9)</f>
        <v>550000000000</v>
      </c>
    </row>
    <row r="8" spans="2:10" x14ac:dyDescent="0.3">
      <c r="B8" s="105" t="s">
        <v>12</v>
      </c>
      <c r="C8" s="134">
        <f>ROUND('Master Summary Renewables'!C8,-9)</f>
        <v>39000000000</v>
      </c>
      <c r="D8" s="134">
        <f>ROUND('Master Summary Renewables'!D8,-9)</f>
        <v>53000000000</v>
      </c>
      <c r="E8" s="134">
        <f>ROUND('Master Summary Renewables'!E8,-9)</f>
        <v>81000000000</v>
      </c>
      <c r="F8" s="134">
        <f>ROUND('Master Summary Renewables'!F8,-9)</f>
        <v>5000000000</v>
      </c>
      <c r="G8" s="134">
        <f>ROUND('Master Summary Renewables'!G8,-9)</f>
        <v>83000000000</v>
      </c>
      <c r="H8" s="134">
        <f>ROUND('Master Summary Renewables'!H8,-9)</f>
        <v>50000000000</v>
      </c>
      <c r="I8" s="134">
        <f>ROUND('Master Summary Renewables'!I8,-9)</f>
        <v>3000000000</v>
      </c>
      <c r="J8" s="134">
        <f>ROUND('Master Summary Renewables'!J8,-9)</f>
        <v>313000000000</v>
      </c>
    </row>
    <row r="9" spans="2:10" x14ac:dyDescent="0.3">
      <c r="B9" s="105" t="s">
        <v>13</v>
      </c>
      <c r="C9" s="134">
        <f>ROUND('Master Summary Renewables'!C9,-9)</f>
        <v>181000000000</v>
      </c>
      <c r="D9" s="134">
        <f>ROUND('Master Summary Renewables'!D9,-9)</f>
        <v>538000000000</v>
      </c>
      <c r="E9" s="134">
        <f>ROUND('Master Summary Renewables'!E9,-9)</f>
        <v>538000000000</v>
      </c>
      <c r="F9" s="134">
        <f>ROUND('Master Summary Renewables'!F9,-9)</f>
        <v>103000000000</v>
      </c>
      <c r="G9" s="134">
        <f>ROUND('Master Summary Renewables'!G9,-9)</f>
        <v>931000000000</v>
      </c>
      <c r="H9" s="134">
        <f>ROUND('Master Summary Renewables'!H9,-9)</f>
        <v>471000000000</v>
      </c>
      <c r="I9" s="134">
        <f>ROUND('Master Summary Renewables'!I9,-9)</f>
        <v>61000000000</v>
      </c>
      <c r="J9" s="134">
        <f>ROUND('Master Summary Renewables'!J9,-9)</f>
        <v>2823000000000</v>
      </c>
    </row>
    <row r="10" spans="2:10" x14ac:dyDescent="0.3">
      <c r="B10" s="105" t="s">
        <v>14</v>
      </c>
      <c r="C10" s="134">
        <f>ROUND('Master Summary Renewables'!C10,-9)</f>
        <v>41000000000</v>
      </c>
      <c r="D10" s="134">
        <f>ROUND('Master Summary Renewables'!D10,-9)</f>
        <v>89000000000</v>
      </c>
      <c r="E10" s="134">
        <f>ROUND('Master Summary Renewables'!E10,-9)</f>
        <v>112000000000</v>
      </c>
      <c r="F10" s="134">
        <f>ROUND('Master Summary Renewables'!F10,-9)</f>
        <v>15000000000</v>
      </c>
      <c r="G10" s="134">
        <f>ROUND('Master Summary Renewables'!G10,-9)</f>
        <v>134000000000</v>
      </c>
      <c r="H10" s="134">
        <f>ROUND('Master Summary Renewables'!H10,-9)</f>
        <v>90000000000</v>
      </c>
      <c r="I10" s="134">
        <f>ROUND('Master Summary Renewables'!I10,-9)</f>
        <v>8000000000</v>
      </c>
      <c r="J10" s="134">
        <f>ROUND('Master Summary Renewables'!J10,-9)</f>
        <v>488000000000</v>
      </c>
    </row>
    <row r="11" spans="2:10" x14ac:dyDescent="0.3">
      <c r="B11" s="105" t="s">
        <v>15</v>
      </c>
      <c r="C11" s="134">
        <f>ROUND('Master Summary Renewables'!C11,-9)</f>
        <v>24000000000</v>
      </c>
      <c r="D11" s="134">
        <f>ROUND('Master Summary Renewables'!D11,-9)</f>
        <v>58000000000</v>
      </c>
      <c r="E11" s="134">
        <f>ROUND('Master Summary Renewables'!E11,-9)</f>
        <v>61000000000</v>
      </c>
      <c r="F11" s="134">
        <f>ROUND('Master Summary Renewables'!F11,-9)</f>
        <v>11000000000</v>
      </c>
      <c r="G11" s="134">
        <f>ROUND('Master Summary Renewables'!G11,-9)</f>
        <v>99000000000</v>
      </c>
      <c r="H11" s="134">
        <f>ROUND('Master Summary Renewables'!H11,-9)</f>
        <v>45000000000</v>
      </c>
      <c r="I11" s="134">
        <f>ROUND('Master Summary Renewables'!I11,-9)</f>
        <v>5000000000</v>
      </c>
      <c r="J11" s="134">
        <f>ROUND('Master Summary Renewables'!J11,-9)</f>
        <v>303000000000</v>
      </c>
    </row>
    <row r="12" spans="2:10" x14ac:dyDescent="0.3">
      <c r="B12" s="105" t="s">
        <v>16</v>
      </c>
      <c r="C12" s="134">
        <f>ROUND('Master Summary Renewables'!C12,-9)</f>
        <v>9000000000</v>
      </c>
      <c r="D12" s="134">
        <f>ROUND('Master Summary Renewables'!D12,-9)</f>
        <v>18000000000</v>
      </c>
      <c r="E12" s="134">
        <f>ROUND('Master Summary Renewables'!E12,-9)</f>
        <v>25000000000</v>
      </c>
      <c r="F12" s="134">
        <f>ROUND('Master Summary Renewables'!F12,-9)</f>
        <v>3000000000</v>
      </c>
      <c r="G12" s="134">
        <f>ROUND('Master Summary Renewables'!G12,-9)</f>
        <v>27000000000</v>
      </c>
      <c r="H12" s="134">
        <f>ROUND('Master Summary Renewables'!H12,-9)</f>
        <v>16000000000</v>
      </c>
      <c r="I12" s="134">
        <f>ROUND('Master Summary Renewables'!I12,-9)</f>
        <v>2000000000</v>
      </c>
      <c r="J12" s="134">
        <f>ROUND('Master Summary Renewables'!J12,-9)</f>
        <v>101000000000</v>
      </c>
    </row>
    <row r="13" spans="2:10" x14ac:dyDescent="0.3">
      <c r="B13" s="105" t="s">
        <v>17</v>
      </c>
      <c r="C13" s="134">
        <f>ROUND('Master Summary Renewables'!C13,-9)</f>
        <v>192000000000</v>
      </c>
      <c r="D13" s="134">
        <f>ROUND('Master Summary Renewables'!D13,-9)</f>
        <v>274000000000</v>
      </c>
      <c r="E13" s="134">
        <f>ROUND('Master Summary Renewables'!E13,-9)</f>
        <v>355000000000</v>
      </c>
      <c r="F13" s="134">
        <f>ROUND('Master Summary Renewables'!F13,-9)</f>
        <v>33000000000</v>
      </c>
      <c r="G13" s="134">
        <f>ROUND('Master Summary Renewables'!G13,-9)</f>
        <v>585000000000</v>
      </c>
      <c r="H13" s="134">
        <f>ROUND('Master Summary Renewables'!H13,-9)</f>
        <v>260000000000</v>
      </c>
      <c r="I13" s="134">
        <f>ROUND('Master Summary Renewables'!I13,-9)</f>
        <v>21000000000</v>
      </c>
      <c r="J13" s="134">
        <f>ROUND('Master Summary Renewables'!J13,-9)</f>
        <v>1721000000000</v>
      </c>
    </row>
    <row r="14" spans="2:10" x14ac:dyDescent="0.3">
      <c r="B14" s="105" t="s">
        <v>18</v>
      </c>
      <c r="C14" s="134">
        <f>ROUND('Master Summary Renewables'!C14,-9)</f>
        <v>104000000000</v>
      </c>
      <c r="D14" s="134">
        <f>ROUND('Master Summary Renewables'!D14,-9)</f>
        <v>185000000000</v>
      </c>
      <c r="E14" s="134">
        <f>ROUND('Master Summary Renewables'!E14,-9)</f>
        <v>177000000000</v>
      </c>
      <c r="F14" s="134">
        <f>ROUND('Master Summary Renewables'!F14,-9)</f>
        <v>16000000000</v>
      </c>
      <c r="G14" s="134">
        <f>ROUND('Master Summary Renewables'!G14,-9)</f>
        <v>289000000000</v>
      </c>
      <c r="H14" s="134">
        <f>ROUND('Master Summary Renewables'!H14,-9)</f>
        <v>137000000000</v>
      </c>
      <c r="I14" s="134">
        <f>ROUND('Master Summary Renewables'!I14,-9)</f>
        <v>12000000000</v>
      </c>
      <c r="J14" s="134">
        <f>ROUND('Master Summary Renewables'!J14,-9)</f>
        <v>921000000000</v>
      </c>
    </row>
    <row r="15" spans="2:10" x14ac:dyDescent="0.3">
      <c r="B15" s="105" t="s">
        <v>19</v>
      </c>
      <c r="C15" s="134">
        <f>ROUND('Master Summary Renewables'!C15,-9)</f>
        <v>7000000000</v>
      </c>
      <c r="D15" s="134">
        <f>ROUND('Master Summary Renewables'!D15,-9)</f>
        <v>17000000000</v>
      </c>
      <c r="E15" s="134">
        <f>ROUND('Master Summary Renewables'!E15,-9)</f>
        <v>1000000000</v>
      </c>
      <c r="F15" s="134">
        <f>ROUND('Master Summary Renewables'!F15,-9)</f>
        <v>4000000000</v>
      </c>
      <c r="G15" s="134">
        <f>ROUND('Master Summary Renewables'!G15,-9)</f>
        <v>33000000000</v>
      </c>
      <c r="H15" s="134">
        <f>ROUND('Master Summary Renewables'!H15,-9)</f>
        <v>21000000000</v>
      </c>
      <c r="I15" s="134">
        <f>ROUND('Master Summary Renewables'!I15,-9)</f>
        <v>2000000000</v>
      </c>
      <c r="J15" s="134">
        <f>ROUND('Master Summary Renewables'!J15,-9)</f>
        <v>84000000000</v>
      </c>
    </row>
    <row r="16" spans="2:10" x14ac:dyDescent="0.3">
      <c r="B16" s="105" t="s">
        <v>20</v>
      </c>
      <c r="C16" s="134">
        <f>ROUND('Master Summary Renewables'!C16,-9)</f>
        <v>19000000000</v>
      </c>
      <c r="D16" s="134">
        <f>ROUND('Master Summary Renewables'!D16,-9)</f>
        <v>28000000000</v>
      </c>
      <c r="E16" s="134">
        <f>ROUND('Master Summary Renewables'!E16,-9)</f>
        <v>28000000000</v>
      </c>
      <c r="F16" s="134">
        <f>ROUND('Master Summary Renewables'!F16,-9)</f>
        <v>5000000000</v>
      </c>
      <c r="G16" s="134">
        <f>ROUND('Master Summary Renewables'!G16,-9)</f>
        <v>41000000000</v>
      </c>
      <c r="H16" s="134">
        <f>ROUND('Master Summary Renewables'!H16,-9)</f>
        <v>33000000000</v>
      </c>
      <c r="I16" s="134">
        <f>ROUND('Master Summary Renewables'!I16,-9)</f>
        <v>2000000000</v>
      </c>
      <c r="J16" s="134">
        <f>ROUND('Master Summary Renewables'!J16,-9)</f>
        <v>156000000000</v>
      </c>
    </row>
    <row r="17" spans="2:10" x14ac:dyDescent="0.3">
      <c r="B17" s="105" t="s">
        <v>21</v>
      </c>
      <c r="C17" s="134">
        <f>ROUND('Master Summary Renewables'!C17,-9)</f>
        <v>113000000000</v>
      </c>
      <c r="D17" s="134">
        <f>ROUND('Master Summary Renewables'!D17,-9)</f>
        <v>176000000000</v>
      </c>
      <c r="E17" s="134">
        <f>ROUND('Master Summary Renewables'!E17,-9)</f>
        <v>253000000000</v>
      </c>
      <c r="F17" s="134">
        <f>ROUND('Master Summary Renewables'!F17,-9)</f>
        <v>38000000000</v>
      </c>
      <c r="G17" s="134">
        <f>ROUND('Master Summary Renewables'!G17,-9)</f>
        <v>353000000000</v>
      </c>
      <c r="H17" s="134">
        <f>ROUND('Master Summary Renewables'!H17,-9)</f>
        <v>168000000000</v>
      </c>
      <c r="I17" s="134">
        <f>ROUND('Master Summary Renewables'!I17,-9)</f>
        <v>18000000000</v>
      </c>
      <c r="J17" s="134">
        <f>ROUND('Master Summary Renewables'!J17,-9)</f>
        <v>1118000000000</v>
      </c>
    </row>
    <row r="18" spans="2:10" x14ac:dyDescent="0.3">
      <c r="B18" s="105" t="s">
        <v>22</v>
      </c>
      <c r="C18" s="134">
        <f>ROUND('Master Summary Renewables'!C18,-9)</f>
        <v>63000000000</v>
      </c>
      <c r="D18" s="134">
        <f>ROUND('Master Summary Renewables'!D18,-9)</f>
        <v>115000000000</v>
      </c>
      <c r="E18" s="134">
        <f>ROUND('Master Summary Renewables'!E18,-9)</f>
        <v>188000000000</v>
      </c>
      <c r="F18" s="134">
        <f>ROUND('Master Summary Renewables'!F18,-9)</f>
        <v>20000000000</v>
      </c>
      <c r="G18" s="134">
        <f>ROUND('Master Summary Renewables'!G18,-9)</f>
        <v>185000000000</v>
      </c>
      <c r="H18" s="134">
        <f>ROUND('Master Summary Renewables'!H18,-9)</f>
        <v>105000000000</v>
      </c>
      <c r="I18" s="134">
        <f>ROUND('Master Summary Renewables'!I18,-9)</f>
        <v>8000000000</v>
      </c>
      <c r="J18" s="134">
        <f>ROUND('Master Summary Renewables'!J18,-9)</f>
        <v>685000000000</v>
      </c>
    </row>
    <row r="19" spans="2:10" x14ac:dyDescent="0.3">
      <c r="B19" s="105" t="s">
        <v>23</v>
      </c>
      <c r="C19" s="134">
        <f>ROUND('Master Summary Renewables'!C19,-9)</f>
        <v>32000000000</v>
      </c>
      <c r="D19" s="134">
        <f>ROUND('Master Summary Renewables'!D19,-9)</f>
        <v>43000000000</v>
      </c>
      <c r="E19" s="134">
        <f>ROUND('Master Summary Renewables'!E19,-9)</f>
        <v>99000000000</v>
      </c>
      <c r="F19" s="134">
        <f>ROUND('Master Summary Renewables'!F19,-9)</f>
        <v>9000000000</v>
      </c>
      <c r="G19" s="134">
        <f>ROUND('Master Summary Renewables'!G19,-9)</f>
        <v>87000000000</v>
      </c>
      <c r="H19" s="134">
        <f>ROUND('Master Summary Renewables'!H19,-9)</f>
        <v>63000000000</v>
      </c>
      <c r="I19" s="134">
        <f>ROUND('Master Summary Renewables'!I19,-9)</f>
        <v>4000000000</v>
      </c>
      <c r="J19" s="134">
        <f>ROUND('Master Summary Renewables'!J19,-9)</f>
        <v>337000000000</v>
      </c>
    </row>
    <row r="20" spans="2:10" x14ac:dyDescent="0.3">
      <c r="B20" s="105" t="s">
        <v>24</v>
      </c>
      <c r="C20" s="134">
        <f>ROUND('Master Summary Renewables'!C20,-9)</f>
        <v>34000000000</v>
      </c>
      <c r="D20" s="134">
        <f>ROUND('Master Summary Renewables'!D20,-9)</f>
        <v>61000000000</v>
      </c>
      <c r="E20" s="134">
        <f>ROUND('Master Summary Renewables'!E20,-9)</f>
        <v>69000000000</v>
      </c>
      <c r="F20" s="134">
        <f>ROUND('Master Summary Renewables'!F20,-9)</f>
        <v>9000000000</v>
      </c>
      <c r="G20" s="134">
        <f>ROUND('Master Summary Renewables'!G20,-9)</f>
        <v>81000000000</v>
      </c>
      <c r="H20" s="134">
        <f>ROUND('Master Summary Renewables'!H20,-9)</f>
        <v>46000000000</v>
      </c>
      <c r="I20" s="134">
        <f>ROUND('Master Summary Renewables'!I20,-9)</f>
        <v>3000000000</v>
      </c>
      <c r="J20" s="134">
        <f>ROUND('Master Summary Renewables'!J20,-9)</f>
        <v>303000000000</v>
      </c>
    </row>
    <row r="21" spans="2:10" x14ac:dyDescent="0.3">
      <c r="B21" s="105" t="s">
        <v>25</v>
      </c>
      <c r="C21" s="134">
        <f>ROUND('Master Summary Renewables'!C21,-9)</f>
        <v>61000000000</v>
      </c>
      <c r="D21" s="134">
        <f>ROUND('Master Summary Renewables'!D21,-9)</f>
        <v>76000000000</v>
      </c>
      <c r="E21" s="134">
        <f>ROUND('Master Summary Renewables'!E21,-9)</f>
        <v>73000000000</v>
      </c>
      <c r="F21" s="134">
        <f>ROUND('Master Summary Renewables'!F21,-9)</f>
        <v>7000000000</v>
      </c>
      <c r="G21" s="134">
        <f>ROUND('Master Summary Renewables'!G21,-9)</f>
        <v>123000000000</v>
      </c>
      <c r="H21" s="134">
        <f>ROUND('Master Summary Renewables'!H21,-9)</f>
        <v>72000000000</v>
      </c>
      <c r="I21" s="134">
        <f>ROUND('Master Summary Renewables'!I21,-9)</f>
        <v>4000000000</v>
      </c>
      <c r="J21" s="134">
        <f>ROUND('Master Summary Renewables'!J21,-9)</f>
        <v>416000000000</v>
      </c>
    </row>
    <row r="22" spans="2:10" x14ac:dyDescent="0.3">
      <c r="B22" s="105" t="s">
        <v>26</v>
      </c>
      <c r="C22" s="134">
        <f>ROUND('Master Summary Renewables'!C22,-9)</f>
        <v>54000000000</v>
      </c>
      <c r="D22" s="134">
        <f>ROUND('Master Summary Renewables'!D22,-9)</f>
        <v>105000000000</v>
      </c>
      <c r="E22" s="134">
        <f>ROUND('Master Summary Renewables'!E22,-9)</f>
        <v>404000000000</v>
      </c>
      <c r="F22" s="134">
        <f>ROUND('Master Summary Renewables'!F22,-9)</f>
        <v>7000000000</v>
      </c>
      <c r="G22" s="134">
        <f>ROUND('Master Summary Renewables'!G22,-9)</f>
        <v>128000000000</v>
      </c>
      <c r="H22" s="134">
        <f>ROUND('Master Summary Renewables'!H22,-9)</f>
        <v>69000000000</v>
      </c>
      <c r="I22" s="134">
        <f>ROUND('Master Summary Renewables'!I22,-9)</f>
        <v>5000000000</v>
      </c>
      <c r="J22" s="134">
        <f>ROUND('Master Summary Renewables'!J22,-9)</f>
        <v>772000000000</v>
      </c>
    </row>
    <row r="23" spans="2:10" x14ac:dyDescent="0.3">
      <c r="B23" s="105" t="s">
        <v>27</v>
      </c>
      <c r="C23" s="134">
        <f>ROUND('Master Summary Renewables'!C23,-9)</f>
        <v>9000000000</v>
      </c>
      <c r="D23" s="134">
        <f>ROUND('Master Summary Renewables'!D23,-9)</f>
        <v>27000000000</v>
      </c>
      <c r="E23" s="134">
        <f>ROUND('Master Summary Renewables'!E23,-9)</f>
        <v>13000000000</v>
      </c>
      <c r="F23" s="134">
        <f>ROUND('Master Summary Renewables'!F23,-9)</f>
        <v>4000000000</v>
      </c>
      <c r="G23" s="134">
        <f>ROUND('Master Summary Renewables'!G23,-9)</f>
        <v>37000000000</v>
      </c>
      <c r="H23" s="134">
        <f>ROUND('Master Summary Renewables'!H23,-9)</f>
        <v>19000000000</v>
      </c>
      <c r="I23" s="134">
        <f>ROUND('Master Summary Renewables'!I23,-9)</f>
        <v>1000000000</v>
      </c>
      <c r="J23" s="134">
        <f>ROUND('Master Summary Renewables'!J23,-9)</f>
        <v>111000000000</v>
      </c>
    </row>
    <row r="24" spans="2:10" x14ac:dyDescent="0.3">
      <c r="B24" s="105" t="s">
        <v>28</v>
      </c>
      <c r="C24" s="134">
        <f>ROUND('Master Summary Renewables'!C24,-9)</f>
        <v>48000000000</v>
      </c>
      <c r="D24" s="134">
        <f>ROUND('Master Summary Renewables'!D24,-9)</f>
        <v>74000000000</v>
      </c>
      <c r="E24" s="134">
        <f>ROUND('Master Summary Renewables'!E24,-9)</f>
        <v>57000000000</v>
      </c>
      <c r="F24" s="134">
        <f>ROUND('Master Summary Renewables'!F24,-9)</f>
        <v>19000000000</v>
      </c>
      <c r="G24" s="134">
        <f>ROUND('Master Summary Renewables'!G24,-9)</f>
        <v>167000000000</v>
      </c>
      <c r="H24" s="134">
        <f>ROUND('Master Summary Renewables'!H24,-9)</f>
        <v>66000000000</v>
      </c>
      <c r="I24" s="134">
        <f>ROUND('Master Summary Renewables'!I24,-9)</f>
        <v>8000000000</v>
      </c>
      <c r="J24" s="134">
        <f>ROUND('Master Summary Renewables'!J24,-9)</f>
        <v>440000000000</v>
      </c>
    </row>
    <row r="25" spans="2:10" x14ac:dyDescent="0.3">
      <c r="B25" s="105" t="s">
        <v>29</v>
      </c>
      <c r="C25" s="134">
        <f>ROUND('Master Summary Renewables'!C25,-9)</f>
        <v>43000000000</v>
      </c>
      <c r="D25" s="134">
        <f>ROUND('Master Summary Renewables'!D25,-9)</f>
        <v>89000000000</v>
      </c>
      <c r="E25" s="134">
        <f>ROUND('Master Summary Renewables'!E25,-9)</f>
        <v>115000000000</v>
      </c>
      <c r="F25" s="134">
        <f>ROUND('Master Summary Renewables'!F25,-9)</f>
        <v>22000000000</v>
      </c>
      <c r="G25" s="134">
        <f>ROUND('Master Summary Renewables'!G25,-9)</f>
        <v>191000000000</v>
      </c>
      <c r="H25" s="134">
        <f>ROUND('Master Summary Renewables'!H25,-9)</f>
        <v>81000000000</v>
      </c>
      <c r="I25" s="134">
        <f>ROUND('Master Summary Renewables'!I25,-9)</f>
        <v>12000000000</v>
      </c>
      <c r="J25" s="134">
        <f>ROUND('Master Summary Renewables'!J25,-9)</f>
        <v>553000000000</v>
      </c>
    </row>
    <row r="26" spans="2:10" x14ac:dyDescent="0.3">
      <c r="B26" s="105" t="s">
        <v>30</v>
      </c>
      <c r="C26" s="134">
        <f>ROUND('Master Summary Renewables'!C26,-9)</f>
        <v>74000000000</v>
      </c>
      <c r="D26" s="134">
        <f>ROUND('Master Summary Renewables'!D26,-9)</f>
        <v>174000000000</v>
      </c>
      <c r="E26" s="134">
        <f>ROUND('Master Summary Renewables'!E26,-9)</f>
        <v>223000000000</v>
      </c>
      <c r="F26" s="134">
        <f>ROUND('Master Summary Renewables'!F26,-9)</f>
        <v>30000000000</v>
      </c>
      <c r="G26" s="134">
        <f>ROUND('Master Summary Renewables'!G26,-9)</f>
        <v>277000000000</v>
      </c>
      <c r="H26" s="134">
        <f>ROUND('Master Summary Renewables'!H26,-9)</f>
        <v>142000000000</v>
      </c>
      <c r="I26" s="134">
        <f>ROUND('Master Summary Renewables'!I26,-9)</f>
        <v>11000000000</v>
      </c>
      <c r="J26" s="134">
        <f>ROUND('Master Summary Renewables'!J26,-9)</f>
        <v>931000000000</v>
      </c>
    </row>
    <row r="27" spans="2:10" x14ac:dyDescent="0.3">
      <c r="B27" s="105" t="s">
        <v>31</v>
      </c>
      <c r="C27" s="134">
        <f>ROUND('Master Summary Renewables'!C27,-9)</f>
        <v>57000000000</v>
      </c>
      <c r="D27" s="134">
        <f>ROUND('Master Summary Renewables'!D27,-9)</f>
        <v>85000000000</v>
      </c>
      <c r="E27" s="134">
        <f>ROUND('Master Summary Renewables'!E27,-9)</f>
        <v>118000000000</v>
      </c>
      <c r="F27" s="134">
        <f>ROUND('Master Summary Renewables'!F27,-9)</f>
        <v>17000000000</v>
      </c>
      <c r="G27" s="134">
        <f>ROUND('Master Summary Renewables'!G27,-9)</f>
        <v>155000000000</v>
      </c>
      <c r="H27" s="134">
        <f>ROUND('Master Summary Renewables'!H27,-9)</f>
        <v>90000000000</v>
      </c>
      <c r="I27" s="134">
        <f>ROUND('Master Summary Renewables'!I27,-9)</f>
        <v>8000000000</v>
      </c>
      <c r="J27" s="134">
        <f>ROUND('Master Summary Renewables'!J27,-9)</f>
        <v>529000000000</v>
      </c>
    </row>
    <row r="28" spans="2:10" x14ac:dyDescent="0.3">
      <c r="B28" s="105" t="s">
        <v>32</v>
      </c>
      <c r="C28" s="134">
        <f>ROUND('Master Summary Renewables'!C28,-9)</f>
        <v>40000000000</v>
      </c>
      <c r="D28" s="134">
        <f>ROUND('Master Summary Renewables'!D28,-9)</f>
        <v>63000000000</v>
      </c>
      <c r="E28" s="134">
        <f>ROUND('Master Summary Renewables'!E28,-9)</f>
        <v>136000000000</v>
      </c>
      <c r="F28" s="134">
        <f>ROUND('Master Summary Renewables'!F28,-9)</f>
        <v>5000000000</v>
      </c>
      <c r="G28" s="134">
        <f>ROUND('Master Summary Renewables'!G28,-9)</f>
        <v>82000000000</v>
      </c>
      <c r="H28" s="134">
        <f>ROUND('Master Summary Renewables'!H28,-9)</f>
        <v>36000000000</v>
      </c>
      <c r="I28" s="134">
        <f>ROUND('Master Summary Renewables'!I28,-9)</f>
        <v>3000000000</v>
      </c>
      <c r="J28" s="134">
        <f>ROUND('Master Summary Renewables'!J28,-9)</f>
        <v>364000000000</v>
      </c>
    </row>
    <row r="29" spans="2:10" x14ac:dyDescent="0.3">
      <c r="B29" s="105" t="s">
        <v>33</v>
      </c>
      <c r="C29" s="134">
        <f>ROUND('Master Summary Renewables'!C29,-9)</f>
        <v>62000000000</v>
      </c>
      <c r="D29" s="134">
        <f>ROUND('Master Summary Renewables'!D29,-9)</f>
        <v>108000000000</v>
      </c>
      <c r="E29" s="134">
        <f>ROUND('Master Summary Renewables'!E29,-9)</f>
        <v>66000000000</v>
      </c>
      <c r="F29" s="134">
        <f>ROUND('Master Summary Renewables'!F29,-9)</f>
        <v>9000000000</v>
      </c>
      <c r="G29" s="134">
        <f>ROUND('Master Summary Renewables'!G29,-9)</f>
        <v>168000000000</v>
      </c>
      <c r="H29" s="134">
        <f>ROUND('Master Summary Renewables'!H29,-9)</f>
        <v>97000000000</v>
      </c>
      <c r="I29" s="134">
        <f>ROUND('Master Summary Renewables'!I29,-9)</f>
        <v>6000000000</v>
      </c>
      <c r="J29" s="134">
        <f>ROUND('Master Summary Renewables'!J29,-9)</f>
        <v>518000000000</v>
      </c>
    </row>
    <row r="30" spans="2:10" x14ac:dyDescent="0.3">
      <c r="B30" s="105" t="s">
        <v>34</v>
      </c>
      <c r="C30" s="134">
        <f>ROUND('Master Summary Renewables'!C30,-9)</f>
        <v>11000000000</v>
      </c>
      <c r="D30" s="134">
        <f>ROUND('Master Summary Renewables'!D30,-9)</f>
        <v>28000000000</v>
      </c>
      <c r="E30" s="134">
        <f>ROUND('Master Summary Renewables'!E30,-9)</f>
        <v>20000000000</v>
      </c>
      <c r="F30" s="134">
        <f>ROUND('Master Summary Renewables'!F30,-9)</f>
        <v>3000000000</v>
      </c>
      <c r="G30" s="134">
        <f>ROUND('Master Summary Renewables'!G30,-9)</f>
        <v>25000000000</v>
      </c>
      <c r="H30" s="134">
        <f>ROUND('Master Summary Renewables'!H30,-9)</f>
        <v>30000000000</v>
      </c>
      <c r="I30" s="134">
        <f>ROUND('Master Summary Renewables'!I30,-9)</f>
        <v>1000000000</v>
      </c>
      <c r="J30" s="134">
        <f>ROUND('Master Summary Renewables'!J30,-9)</f>
        <v>118000000000</v>
      </c>
    </row>
    <row r="31" spans="2:10" x14ac:dyDescent="0.3">
      <c r="B31" s="105" t="s">
        <v>35</v>
      </c>
      <c r="C31" s="134">
        <f>ROUND('Master Summary Renewables'!C31,-9)</f>
        <v>22000000000</v>
      </c>
      <c r="D31" s="134">
        <f>ROUND('Master Summary Renewables'!D31,-9)</f>
        <v>31000000000</v>
      </c>
      <c r="E31" s="134">
        <f>ROUND('Master Summary Renewables'!E31,-9)</f>
        <v>42000000000</v>
      </c>
      <c r="F31" s="134">
        <f>ROUND('Master Summary Renewables'!F31,-9)</f>
        <v>6000000000</v>
      </c>
      <c r="G31" s="134">
        <f>ROUND('Master Summary Renewables'!G31,-9)</f>
        <v>53000000000</v>
      </c>
      <c r="H31" s="134">
        <f>ROUND('Master Summary Renewables'!H31,-9)</f>
        <v>35000000000</v>
      </c>
      <c r="I31" s="134">
        <f>ROUND('Master Summary Renewables'!I31,-9)</f>
        <v>3000000000</v>
      </c>
      <c r="J31" s="134">
        <f>ROUND('Master Summary Renewables'!J31,-9)</f>
        <v>192000000000</v>
      </c>
    </row>
    <row r="32" spans="2:10" x14ac:dyDescent="0.3">
      <c r="B32" s="105" t="s">
        <v>36</v>
      </c>
      <c r="C32" s="134">
        <f>ROUND('Master Summary Renewables'!C32,-9)</f>
        <v>29000000000</v>
      </c>
      <c r="D32" s="134">
        <f>ROUND('Master Summary Renewables'!D32,-9)</f>
        <v>45000000000</v>
      </c>
      <c r="E32" s="134">
        <f>ROUND('Master Summary Renewables'!E32,-9)</f>
        <v>75000000000</v>
      </c>
      <c r="F32" s="134">
        <f>ROUND('Master Summary Renewables'!F32,-9)</f>
        <v>8000000000</v>
      </c>
      <c r="G32" s="134">
        <f>ROUND('Master Summary Renewables'!G32,-9)</f>
        <v>71000000000</v>
      </c>
      <c r="H32" s="134">
        <f>ROUND('Master Summary Renewables'!H32,-9)</f>
        <v>39000000000</v>
      </c>
      <c r="I32" s="134">
        <f>ROUND('Master Summary Renewables'!I32,-9)</f>
        <v>3000000000</v>
      </c>
      <c r="J32" s="134">
        <f>ROUND('Master Summary Renewables'!J32,-9)</f>
        <v>270000000000</v>
      </c>
    </row>
    <row r="33" spans="2:10" ht="27" x14ac:dyDescent="0.3">
      <c r="B33" s="105" t="s">
        <v>37</v>
      </c>
      <c r="C33" s="134">
        <f>ROUND('Master Summary Renewables'!C33,-9)</f>
        <v>9000000000</v>
      </c>
      <c r="D33" s="134">
        <f>ROUND('Master Summary Renewables'!D33,-9)</f>
        <v>21000000000</v>
      </c>
      <c r="E33" s="134">
        <f>ROUND('Master Summary Renewables'!E33,-9)</f>
        <v>13000000000</v>
      </c>
      <c r="F33" s="134">
        <f>ROUND('Master Summary Renewables'!F33,-9)</f>
        <v>4000000000</v>
      </c>
      <c r="G33" s="134">
        <f>ROUND('Master Summary Renewables'!G33,-9)</f>
        <v>38000000000</v>
      </c>
      <c r="H33" s="134">
        <f>ROUND('Master Summary Renewables'!H33,-9)</f>
        <v>22000000000</v>
      </c>
      <c r="I33" s="134">
        <f>ROUND('Master Summary Renewables'!I33,-9)</f>
        <v>2000000000</v>
      </c>
      <c r="J33" s="134">
        <f>ROUND('Master Summary Renewables'!J33,-9)</f>
        <v>108000000000</v>
      </c>
    </row>
    <row r="34" spans="2:10" x14ac:dyDescent="0.3">
      <c r="B34" s="105" t="s">
        <v>38</v>
      </c>
      <c r="C34" s="134">
        <f>ROUND('Master Summary Renewables'!C34,-9)</f>
        <v>56000000000</v>
      </c>
      <c r="D34" s="134">
        <f>ROUND('Master Summary Renewables'!D34,-9)</f>
        <v>139000000000</v>
      </c>
      <c r="E34" s="134">
        <f>ROUND('Master Summary Renewables'!E34,-9)</f>
        <v>181000000000</v>
      </c>
      <c r="F34" s="134">
        <f>ROUND('Master Summary Renewables'!F34,-9)</f>
        <v>29000000000</v>
      </c>
      <c r="G34" s="134">
        <f>ROUND('Master Summary Renewables'!G34,-9)</f>
        <v>247000000000</v>
      </c>
      <c r="H34" s="134">
        <f>ROUND('Master Summary Renewables'!H34,-9)</f>
        <v>94000000000</v>
      </c>
      <c r="I34" s="134">
        <f>ROUND('Master Summary Renewables'!I34,-9)</f>
        <v>13000000000</v>
      </c>
      <c r="J34" s="134">
        <f>ROUND('Master Summary Renewables'!J34,-9)</f>
        <v>757000000000</v>
      </c>
    </row>
    <row r="35" spans="2:10" x14ac:dyDescent="0.3">
      <c r="B35" s="105" t="s">
        <v>39</v>
      </c>
      <c r="C35" s="134">
        <f>ROUND('Master Summary Renewables'!C35,-9)</f>
        <v>19000000000</v>
      </c>
      <c r="D35" s="134">
        <f>ROUND('Master Summary Renewables'!D35,-9)</f>
        <v>39000000000</v>
      </c>
      <c r="E35" s="134">
        <f>ROUND('Master Summary Renewables'!E35,-9)</f>
        <v>61000000000</v>
      </c>
      <c r="F35" s="134">
        <f>ROUND('Master Summary Renewables'!F35,-9)</f>
        <v>5000000000</v>
      </c>
      <c r="G35" s="134">
        <f>ROUND('Master Summary Renewables'!G35,-9)</f>
        <v>49000000000</v>
      </c>
      <c r="H35" s="134">
        <f>ROUND('Master Summary Renewables'!H35,-9)</f>
        <v>32000000000</v>
      </c>
      <c r="I35" s="134">
        <f>ROUND('Master Summary Renewables'!I35,-9)</f>
        <v>2000000000</v>
      </c>
      <c r="J35" s="134">
        <f>ROUND('Master Summary Renewables'!J35,-9)</f>
        <v>208000000000</v>
      </c>
    </row>
    <row r="36" spans="2:10" x14ac:dyDescent="0.3">
      <c r="B36" s="105" t="s">
        <v>40</v>
      </c>
      <c r="C36" s="134">
        <f>ROUND('Master Summary Renewables'!C36,-9)</f>
        <v>119000000000</v>
      </c>
      <c r="D36" s="134">
        <f>ROUND('Master Summary Renewables'!D36,-9)</f>
        <v>208000000000</v>
      </c>
      <c r="E36" s="134">
        <f>ROUND('Master Summary Renewables'!E36,-9)</f>
        <v>320000000000</v>
      </c>
      <c r="F36" s="134">
        <f>ROUND('Master Summary Renewables'!F36,-9)</f>
        <v>63000000000</v>
      </c>
      <c r="G36" s="134">
        <f>ROUND('Master Summary Renewables'!G36,-9)</f>
        <v>541000000000</v>
      </c>
      <c r="H36" s="134">
        <f>ROUND('Master Summary Renewables'!H36,-9)</f>
        <v>181000000000</v>
      </c>
      <c r="I36" s="134">
        <f>ROUND('Master Summary Renewables'!I36,-9)</f>
        <v>34000000000</v>
      </c>
      <c r="J36" s="134">
        <f>ROUND('Master Summary Renewables'!J36,-9)</f>
        <v>1465000000000</v>
      </c>
    </row>
    <row r="37" spans="2:10" x14ac:dyDescent="0.3">
      <c r="B37" s="105" t="s">
        <v>41</v>
      </c>
      <c r="C37" s="134">
        <f>ROUND('Master Summary Renewables'!C37,-9)</f>
        <v>92000000000</v>
      </c>
      <c r="D37" s="134">
        <f>ROUND('Master Summary Renewables'!D37,-9)</f>
        <v>166000000000</v>
      </c>
      <c r="E37" s="134">
        <f>ROUND('Master Summary Renewables'!E37,-9)</f>
        <v>130000000000</v>
      </c>
      <c r="F37" s="134">
        <f>ROUND('Master Summary Renewables'!F37,-9)</f>
        <v>16000000000</v>
      </c>
      <c r="G37" s="134">
        <f>ROUND('Master Summary Renewables'!G37,-9)</f>
        <v>285000000000</v>
      </c>
      <c r="H37" s="134">
        <f>ROUND('Master Summary Renewables'!H37,-9)</f>
        <v>138000000000</v>
      </c>
      <c r="I37" s="134">
        <f>ROUND('Master Summary Renewables'!I37,-9)</f>
        <v>12000000000</v>
      </c>
      <c r="J37" s="134">
        <f>ROUND('Master Summary Renewables'!J37,-9)</f>
        <v>839000000000</v>
      </c>
    </row>
    <row r="38" spans="2:10" x14ac:dyDescent="0.3">
      <c r="B38" s="105" t="s">
        <v>42</v>
      </c>
      <c r="C38" s="134">
        <f>ROUND('Master Summary Renewables'!C38,-9)</f>
        <v>17000000000</v>
      </c>
      <c r="D38" s="134">
        <f>ROUND('Master Summary Renewables'!D38,-9)</f>
        <v>15000000000</v>
      </c>
      <c r="E38" s="134">
        <f>ROUND('Master Summary Renewables'!E38,-9)</f>
        <v>29000000000</v>
      </c>
      <c r="F38" s="134">
        <f>ROUND('Master Summary Renewables'!F38,-9)</f>
        <v>2000000000</v>
      </c>
      <c r="G38" s="134">
        <f>ROUND('Master Summary Renewables'!G38,-9)</f>
        <v>21000000000</v>
      </c>
      <c r="H38" s="134">
        <f>ROUND('Master Summary Renewables'!H38,-9)</f>
        <v>17000000000</v>
      </c>
      <c r="I38" s="134">
        <f>ROUND('Master Summary Renewables'!I38,-9)</f>
        <v>1000000000</v>
      </c>
      <c r="J38" s="134">
        <f>ROUND('Master Summary Renewables'!J38,-9)</f>
        <v>102000000000</v>
      </c>
    </row>
    <row r="39" spans="2:10" x14ac:dyDescent="0.3">
      <c r="B39" s="105" t="s">
        <v>43</v>
      </c>
      <c r="C39" s="134">
        <f>ROUND('Master Summary Renewables'!C39,-9)</f>
        <v>98000000000</v>
      </c>
      <c r="D39" s="134">
        <f>ROUND('Master Summary Renewables'!D39,-9)</f>
        <v>182000000000</v>
      </c>
      <c r="E39" s="134">
        <f>ROUND('Master Summary Renewables'!E39,-9)</f>
        <v>241000000000</v>
      </c>
      <c r="F39" s="134">
        <f>ROUND('Master Summary Renewables'!F39,-9)</f>
        <v>35000000000</v>
      </c>
      <c r="G39" s="134">
        <f>ROUND('Master Summary Renewables'!G39,-9)</f>
        <v>324000000000</v>
      </c>
      <c r="H39" s="134">
        <f>ROUND('Master Summary Renewables'!H39,-9)</f>
        <v>173000000000</v>
      </c>
      <c r="I39" s="134">
        <f>ROUND('Master Summary Renewables'!I39,-9)</f>
        <v>14000000000</v>
      </c>
      <c r="J39" s="134">
        <f>ROUND('Master Summary Renewables'!J39,-9)</f>
        <v>1066000000000</v>
      </c>
    </row>
    <row r="40" spans="2:10" x14ac:dyDescent="0.3">
      <c r="B40" s="105" t="s">
        <v>44</v>
      </c>
      <c r="C40" s="134">
        <f>ROUND('Master Summary Renewables'!C40,-9)</f>
        <v>47000000000</v>
      </c>
      <c r="D40" s="134">
        <f>ROUND('Master Summary Renewables'!D40,-9)</f>
        <v>77000000000</v>
      </c>
      <c r="E40" s="134">
        <f>ROUND('Master Summary Renewables'!E40,-9)</f>
        <v>171000000000</v>
      </c>
      <c r="F40" s="134">
        <f>ROUND('Master Summary Renewables'!F40,-9)</f>
        <v>12000000000</v>
      </c>
      <c r="G40" s="134">
        <f>ROUND('Master Summary Renewables'!G40,-9)</f>
        <v>109000000000</v>
      </c>
      <c r="H40" s="134">
        <f>ROUND('Master Summary Renewables'!H40,-9)</f>
        <v>65000000000</v>
      </c>
      <c r="I40" s="134">
        <f>ROUND('Master Summary Renewables'!I40,-9)</f>
        <v>4000000000</v>
      </c>
      <c r="J40" s="134">
        <f>ROUND('Master Summary Renewables'!J40,-9)</f>
        <v>485000000000</v>
      </c>
    </row>
    <row r="41" spans="2:10" x14ac:dyDescent="0.3">
      <c r="B41" s="105" t="s">
        <v>45</v>
      </c>
      <c r="C41" s="134">
        <f>ROUND('Master Summary Renewables'!C41,-9)</f>
        <v>42000000000</v>
      </c>
      <c r="D41" s="134">
        <f>ROUND('Master Summary Renewables'!D41,-9)</f>
        <v>58000000000</v>
      </c>
      <c r="E41" s="134">
        <f>ROUND('Master Summary Renewables'!E41,-9)</f>
        <v>59000000000</v>
      </c>
      <c r="F41" s="134">
        <f>ROUND('Master Summary Renewables'!F41,-9)</f>
        <v>11000000000</v>
      </c>
      <c r="G41" s="134">
        <f>ROUND('Master Summary Renewables'!G41,-9)</f>
        <v>99000000000</v>
      </c>
      <c r="H41" s="134">
        <f>ROUND('Master Summary Renewables'!H41,-9)</f>
        <v>65000000000</v>
      </c>
      <c r="I41" s="134">
        <f>ROUND('Master Summary Renewables'!I41,-9)</f>
        <v>5000000000</v>
      </c>
      <c r="J41" s="134">
        <f>ROUND('Master Summary Renewables'!J41,-9)</f>
        <v>339000000000</v>
      </c>
    </row>
    <row r="42" spans="2:10" x14ac:dyDescent="0.3">
      <c r="B42" s="105" t="s">
        <v>46</v>
      </c>
      <c r="C42" s="134">
        <f>ROUND('Master Summary Renewables'!C42,-9)</f>
        <v>117000000000</v>
      </c>
      <c r="D42" s="134">
        <f>ROUND('Master Summary Renewables'!D42,-9)</f>
        <v>131000000000</v>
      </c>
      <c r="E42" s="134">
        <f>ROUND('Master Summary Renewables'!E42,-9)</f>
        <v>322000000000</v>
      </c>
      <c r="F42" s="134">
        <f>ROUND('Master Summary Renewables'!F42,-9)</f>
        <v>41000000000</v>
      </c>
      <c r="G42" s="134">
        <f>ROUND('Master Summary Renewables'!G42,-9)</f>
        <v>355000000000</v>
      </c>
      <c r="H42" s="134">
        <f>ROUND('Master Summary Renewables'!H42,-9)</f>
        <v>176000000000</v>
      </c>
      <c r="I42" s="134">
        <f>ROUND('Master Summary Renewables'!I42,-9)</f>
        <v>16000000000</v>
      </c>
      <c r="J42" s="134">
        <f>ROUND('Master Summary Renewables'!J42,-9)</f>
        <v>1156000000000</v>
      </c>
    </row>
    <row r="43" spans="2:10" x14ac:dyDescent="0.3">
      <c r="B43" s="105" t="s">
        <v>47</v>
      </c>
      <c r="C43" s="134">
        <f>ROUND('Master Summary Renewables'!C43,-9)</f>
        <v>6000000000</v>
      </c>
      <c r="D43" s="134">
        <f>ROUND('Master Summary Renewables'!D43,-9)</f>
        <v>25000000000</v>
      </c>
      <c r="E43" s="134">
        <f>ROUND('Master Summary Renewables'!E43,-9)</f>
        <v>21000000000</v>
      </c>
      <c r="F43" s="134">
        <f>ROUND('Master Summary Renewables'!F43,-9)</f>
        <v>3000000000</v>
      </c>
      <c r="G43" s="134">
        <f>ROUND('Master Summary Renewables'!G43,-9)</f>
        <v>29000000000</v>
      </c>
      <c r="H43" s="134">
        <f>ROUND('Master Summary Renewables'!H43,-9)</f>
        <v>13000000000</v>
      </c>
      <c r="I43" s="134">
        <f>ROUND('Master Summary Renewables'!I43,-9)</f>
        <v>1000000000</v>
      </c>
      <c r="J43" s="134">
        <f>ROUND('Master Summary Renewables'!J43,-9)</f>
        <v>100000000000</v>
      </c>
    </row>
    <row r="44" spans="2:10" x14ac:dyDescent="0.3">
      <c r="B44" s="105" t="s">
        <v>48</v>
      </c>
      <c r="C44" s="134">
        <f>ROUND('Master Summary Renewables'!C44,-9)</f>
        <v>53000000000</v>
      </c>
      <c r="D44" s="134">
        <f>ROUND('Master Summary Renewables'!D44,-9)</f>
        <v>99000000000</v>
      </c>
      <c r="E44" s="134">
        <f>ROUND('Master Summary Renewables'!E44,-9)</f>
        <v>70000000000</v>
      </c>
      <c r="F44" s="134">
        <f>ROUND('Master Summary Renewables'!F44,-9)</f>
        <v>8000000000</v>
      </c>
      <c r="G44" s="134">
        <f>ROUND('Master Summary Renewables'!G44,-9)</f>
        <v>140000000000</v>
      </c>
      <c r="H44" s="134">
        <f>ROUND('Master Summary Renewables'!H44,-9)</f>
        <v>72000000000</v>
      </c>
      <c r="I44" s="134">
        <f>ROUND('Master Summary Renewables'!I44,-9)</f>
        <v>5000000000</v>
      </c>
      <c r="J44" s="134">
        <f>ROUND('Master Summary Renewables'!J44,-9)</f>
        <v>446000000000</v>
      </c>
    </row>
    <row r="45" spans="2:10" x14ac:dyDescent="0.3">
      <c r="B45" s="105" t="s">
        <v>49</v>
      </c>
      <c r="C45" s="134">
        <f>ROUND('Master Summary Renewables'!C45,-9)</f>
        <v>10000000000</v>
      </c>
      <c r="D45" s="134">
        <f>ROUND('Master Summary Renewables'!D45,-9)</f>
        <v>17000000000</v>
      </c>
      <c r="E45" s="134">
        <f>ROUND('Master Summary Renewables'!E45,-9)</f>
        <v>21000000000</v>
      </c>
      <c r="F45" s="134">
        <f>ROUND('Master Summary Renewables'!F45,-9)</f>
        <v>3000000000</v>
      </c>
      <c r="G45" s="134">
        <f>ROUND('Master Summary Renewables'!G45,-9)</f>
        <v>24000000000</v>
      </c>
      <c r="H45" s="134">
        <f>ROUND('Master Summary Renewables'!H45,-9)</f>
        <v>22000000000</v>
      </c>
      <c r="I45" s="134">
        <f>ROUND('Master Summary Renewables'!I45,-9)</f>
        <v>1000000000</v>
      </c>
      <c r="J45" s="134">
        <f>ROUND('Master Summary Renewables'!J45,-9)</f>
        <v>98000000000</v>
      </c>
    </row>
    <row r="46" spans="2:10" x14ac:dyDescent="0.3">
      <c r="B46" s="105" t="s">
        <v>50</v>
      </c>
      <c r="C46" s="134">
        <f>ROUND('Master Summary Renewables'!C46,-9)</f>
        <v>74000000000</v>
      </c>
      <c r="D46" s="134">
        <f>ROUND('Master Summary Renewables'!D46,-9)</f>
        <v>131000000000</v>
      </c>
      <c r="E46" s="134">
        <f>ROUND('Master Summary Renewables'!E46,-9)</f>
        <v>82000000000</v>
      </c>
      <c r="F46" s="134">
        <f>ROUND('Master Summary Renewables'!F46,-9)</f>
        <v>10000000000</v>
      </c>
      <c r="G46" s="134">
        <f>ROUND('Master Summary Renewables'!G46,-9)</f>
        <v>186000000000</v>
      </c>
      <c r="H46" s="134">
        <f>ROUND('Master Summary Renewables'!H46,-9)</f>
        <v>96000000000</v>
      </c>
      <c r="I46" s="134">
        <f>ROUND('Master Summary Renewables'!I46,-9)</f>
        <v>8000000000</v>
      </c>
      <c r="J46" s="134">
        <f>ROUND('Master Summary Renewables'!J46,-9)</f>
        <v>588000000000</v>
      </c>
    </row>
    <row r="47" spans="2:10" x14ac:dyDescent="0.3">
      <c r="B47" s="105" t="s">
        <v>51</v>
      </c>
      <c r="C47" s="134">
        <f>ROUND('Master Summary Renewables'!C47,-9)</f>
        <v>322000000000</v>
      </c>
      <c r="D47" s="134">
        <f>ROUND('Master Summary Renewables'!D47,-9)</f>
        <v>593000000000</v>
      </c>
      <c r="E47" s="134">
        <f>ROUND('Master Summary Renewables'!E47,-9)</f>
        <v>990000000000</v>
      </c>
      <c r="F47" s="134">
        <f>ROUND('Master Summary Renewables'!F47,-9)</f>
        <v>44000000000</v>
      </c>
      <c r="G47" s="134">
        <f>ROUND('Master Summary Renewables'!G47,-9)</f>
        <v>789000000000</v>
      </c>
      <c r="H47" s="134">
        <f>ROUND('Master Summary Renewables'!H47,-9)</f>
        <v>382000000000</v>
      </c>
      <c r="I47" s="134">
        <f>ROUND('Master Summary Renewables'!I47,-9)</f>
        <v>37000000000</v>
      </c>
      <c r="J47" s="134">
        <f>ROUND('Master Summary Renewables'!J47,-9)</f>
        <v>3157000000000</v>
      </c>
    </row>
    <row r="48" spans="2:10" x14ac:dyDescent="0.3">
      <c r="B48" s="105" t="s">
        <v>53</v>
      </c>
      <c r="C48" s="134">
        <f>ROUND('Master Summary Renewables'!C48,-9)</f>
        <v>19000000000</v>
      </c>
      <c r="D48" s="134">
        <f>ROUND('Master Summary Renewables'!D48,-9)</f>
        <v>50000000000</v>
      </c>
      <c r="E48" s="134">
        <f>ROUND('Master Summary Renewables'!E48,-9)</f>
        <v>57000000000</v>
      </c>
      <c r="F48" s="134">
        <f>ROUND('Master Summary Renewables'!F48,-9)</f>
        <v>8000000000</v>
      </c>
      <c r="G48" s="134">
        <f>ROUND('Master Summary Renewables'!G48,-9)</f>
        <v>74000000000</v>
      </c>
      <c r="H48" s="134">
        <f>ROUND('Master Summary Renewables'!H48,-9)</f>
        <v>39000000000</v>
      </c>
      <c r="I48" s="134">
        <f>ROUND('Master Summary Renewables'!I48,-9)</f>
        <v>4000000000</v>
      </c>
      <c r="J48" s="134">
        <f>ROUND('Master Summary Renewables'!J48,-9)</f>
        <v>251000000000</v>
      </c>
    </row>
    <row r="49" spans="2:10" x14ac:dyDescent="0.3">
      <c r="B49" s="105" t="s">
        <v>54</v>
      </c>
      <c r="C49" s="134">
        <f>ROUND('Master Summary Renewables'!C49,-9)</f>
        <v>4000000000</v>
      </c>
      <c r="D49" s="134">
        <f>ROUND('Master Summary Renewables'!D49,-9)</f>
        <v>12000000000</v>
      </c>
      <c r="E49" s="134">
        <f>ROUND('Master Summary Renewables'!E49,-9)</f>
        <v>3000000000</v>
      </c>
      <c r="F49" s="134">
        <f>ROUND('Master Summary Renewables'!F49,-9)</f>
        <v>2000000000</v>
      </c>
      <c r="G49" s="134">
        <f>ROUND('Master Summary Renewables'!G49,-9)</f>
        <v>17000000000</v>
      </c>
      <c r="H49" s="134">
        <f>ROUND('Master Summary Renewables'!H49,-9)</f>
        <v>10000000000</v>
      </c>
      <c r="I49" s="134">
        <f>ROUND('Master Summary Renewables'!I49,-9)</f>
        <v>1000000000</v>
      </c>
      <c r="J49" s="134">
        <f>ROUND('Master Summary Renewables'!J49,-9)</f>
        <v>50000000000</v>
      </c>
    </row>
    <row r="50" spans="2:10" x14ac:dyDescent="0.3">
      <c r="B50" s="105" t="s">
        <v>55</v>
      </c>
      <c r="C50" s="134">
        <f>ROUND('Master Summary Renewables'!C50,-9)</f>
        <v>90000000000</v>
      </c>
      <c r="D50" s="134">
        <f>ROUND('Master Summary Renewables'!D50,-9)</f>
        <v>125000000000</v>
      </c>
      <c r="E50" s="134">
        <f>ROUND('Master Summary Renewables'!E50,-9)</f>
        <v>148000000000</v>
      </c>
      <c r="F50" s="134">
        <f>ROUND('Master Summary Renewables'!F50,-9)</f>
        <v>13000000000</v>
      </c>
      <c r="G50" s="134">
        <f>ROUND('Master Summary Renewables'!G50,-9)</f>
        <v>234000000000</v>
      </c>
      <c r="H50" s="134">
        <f>ROUND('Master Summary Renewables'!H50,-9)</f>
        <v>119000000000</v>
      </c>
      <c r="I50" s="134">
        <f>ROUND('Master Summary Renewables'!I50,-9)</f>
        <v>11000000000</v>
      </c>
      <c r="J50" s="134">
        <f>ROUND('Master Summary Renewables'!J50,-9)</f>
        <v>741000000000</v>
      </c>
    </row>
    <row r="51" spans="2:10" x14ac:dyDescent="0.3">
      <c r="B51" s="105" t="s">
        <v>56</v>
      </c>
      <c r="C51" s="134">
        <f>ROUND('Master Summary Renewables'!C51,-9)</f>
        <v>78000000000</v>
      </c>
      <c r="D51" s="134">
        <f>ROUND('Master Summary Renewables'!D51,-9)</f>
        <v>107000000000</v>
      </c>
      <c r="E51" s="134">
        <f>ROUND('Master Summary Renewables'!E51,-9)</f>
        <v>82000000000</v>
      </c>
      <c r="F51" s="134">
        <f>ROUND('Master Summary Renewables'!F51,-9)</f>
        <v>20000000000</v>
      </c>
      <c r="G51" s="134">
        <f>ROUND('Master Summary Renewables'!G51,-9)</f>
        <v>177000000000</v>
      </c>
      <c r="H51" s="134">
        <f>ROUND('Master Summary Renewables'!H51,-9)</f>
        <v>117000000000</v>
      </c>
      <c r="I51" s="134">
        <f>ROUND('Master Summary Renewables'!I51,-9)</f>
        <v>12000000000</v>
      </c>
      <c r="J51" s="134">
        <f>ROUND('Master Summary Renewables'!J51,-9)</f>
        <v>593000000000</v>
      </c>
    </row>
    <row r="52" spans="2:10" x14ac:dyDescent="0.3">
      <c r="B52" s="105" t="s">
        <v>57</v>
      </c>
      <c r="C52" s="134">
        <f>ROUND('Master Summary Renewables'!C52,-9)</f>
        <v>26000000000</v>
      </c>
      <c r="D52" s="134">
        <f>ROUND('Master Summary Renewables'!D52,-9)</f>
        <v>28000000000</v>
      </c>
      <c r="E52" s="134">
        <f>ROUND('Master Summary Renewables'!E52,-9)</f>
        <v>48000000000</v>
      </c>
      <c r="F52" s="134">
        <f>ROUND('Master Summary Renewables'!F52,-9)</f>
        <v>3000000000</v>
      </c>
      <c r="G52" s="134">
        <f>ROUND('Master Summary Renewables'!G52,-9)</f>
        <v>50000000000</v>
      </c>
      <c r="H52" s="134">
        <f>ROUND('Master Summary Renewables'!H52,-9)</f>
        <v>30000000000</v>
      </c>
      <c r="I52" s="134">
        <f>ROUND('Master Summary Renewables'!I52,-9)</f>
        <v>2000000000</v>
      </c>
      <c r="J52" s="134">
        <f>ROUND('Master Summary Renewables'!J52,-9)</f>
        <v>187000000000</v>
      </c>
    </row>
    <row r="53" spans="2:10" x14ac:dyDescent="0.3">
      <c r="B53" s="105" t="s">
        <v>58</v>
      </c>
      <c r="C53" s="134">
        <f>ROUND('Master Summary Renewables'!C53,-9)</f>
        <v>55000000000</v>
      </c>
      <c r="D53" s="134">
        <f>ROUND('Master Summary Renewables'!D53,-9)</f>
        <v>94000000000</v>
      </c>
      <c r="E53" s="134">
        <f>ROUND('Master Summary Renewables'!E53,-9)</f>
        <v>123000000000</v>
      </c>
      <c r="F53" s="134">
        <f>ROUND('Master Summary Renewables'!F53,-9)</f>
        <v>17000000000</v>
      </c>
      <c r="G53" s="134">
        <f>ROUND('Master Summary Renewables'!G53,-9)</f>
        <v>161000000000</v>
      </c>
      <c r="H53" s="134">
        <f>ROUND('Master Summary Renewables'!H53,-9)</f>
        <v>92000000000</v>
      </c>
      <c r="I53" s="134">
        <f>ROUND('Master Summary Renewables'!I53,-9)</f>
        <v>7000000000</v>
      </c>
      <c r="J53" s="134">
        <f>ROUND('Master Summary Renewables'!J53,-9)</f>
        <v>550000000000</v>
      </c>
    </row>
    <row r="54" spans="2:10" x14ac:dyDescent="0.3">
      <c r="B54" s="105" t="s">
        <v>59</v>
      </c>
      <c r="C54" s="134">
        <f>ROUND('Master Summary Renewables'!C54,-9)</f>
        <v>13000000000</v>
      </c>
      <c r="D54" s="134">
        <f>ROUND('Master Summary Renewables'!D54,-9)</f>
        <v>14000000000</v>
      </c>
      <c r="E54" s="134">
        <f>ROUND('Master Summary Renewables'!E54,-9)</f>
        <v>32000000000</v>
      </c>
      <c r="F54" s="134">
        <f>ROUND('Master Summary Renewables'!F54,-9)</f>
        <v>2000000000</v>
      </c>
      <c r="G54" s="134">
        <f>ROUND('Master Summary Renewables'!G54,-9)</f>
        <v>14000000000</v>
      </c>
      <c r="H54" s="134">
        <f>ROUND('Master Summary Renewables'!H54,-9)</f>
        <v>17000000000</v>
      </c>
      <c r="I54" s="134">
        <f>ROUND('Master Summary Renewables'!I54,-9)</f>
        <v>1000000000</v>
      </c>
      <c r="J54" s="134">
        <f>ROUND('Master Summary Renewables'!J54,-9)</f>
        <v>92000000000</v>
      </c>
    </row>
    <row r="55" spans="2:10" x14ac:dyDescent="0.3">
      <c r="B55" s="9" t="s">
        <v>243</v>
      </c>
      <c r="C55" s="135">
        <f>SUM(C5:C54)</f>
        <v>2876000000000</v>
      </c>
      <c r="D55" s="135">
        <f t="shared" ref="D55:J55" si="0">SUM(D5:D54)</f>
        <v>5106000000000</v>
      </c>
      <c r="E55" s="135">
        <f t="shared" si="0"/>
        <v>6874000000000</v>
      </c>
      <c r="F55" s="135">
        <f t="shared" si="0"/>
        <v>788000000000</v>
      </c>
      <c r="G55" s="135">
        <f t="shared" si="0"/>
        <v>8688000000000</v>
      </c>
      <c r="H55" s="135">
        <f t="shared" si="0"/>
        <v>4458000000000</v>
      </c>
      <c r="I55" s="135">
        <f t="shared" si="0"/>
        <v>420000000000</v>
      </c>
      <c r="J55" s="135">
        <f t="shared" si="0"/>
        <v>29210000000000</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D8557-9CF8-44A5-BA83-086842C7D43B}">
  <dimension ref="C3:K56"/>
  <sheetViews>
    <sheetView workbookViewId="0">
      <selection activeCell="M10" sqref="M10"/>
    </sheetView>
  </sheetViews>
  <sheetFormatPr defaultRowHeight="14.4" x14ac:dyDescent="0.3"/>
  <cols>
    <col min="3" max="3" width="10.6640625" customWidth="1"/>
    <col min="4" max="4" width="17" customWidth="1"/>
    <col min="5" max="5" width="20" bestFit="1" customWidth="1"/>
    <col min="6" max="6" width="15.5546875" customWidth="1"/>
    <col min="7" max="7" width="19.5546875" customWidth="1"/>
    <col min="8" max="8" width="20" bestFit="1" customWidth="1"/>
    <col min="9" max="9" width="20" customWidth="1"/>
    <col min="10" max="10" width="21" bestFit="1" customWidth="1"/>
  </cols>
  <sheetData>
    <row r="3" spans="3:10" x14ac:dyDescent="0.3">
      <c r="D3" s="174" t="s">
        <v>353</v>
      </c>
      <c r="E3" s="175"/>
    </row>
    <row r="4" spans="3:10" x14ac:dyDescent="0.3">
      <c r="C4" s="11" t="s">
        <v>345</v>
      </c>
      <c r="D4" s="11" t="s">
        <v>5</v>
      </c>
      <c r="E4" s="11" t="s">
        <v>347</v>
      </c>
      <c r="F4" s="11" t="s">
        <v>348</v>
      </c>
      <c r="G4" s="11" t="s">
        <v>349</v>
      </c>
      <c r="H4" s="11" t="s">
        <v>350</v>
      </c>
      <c r="I4" s="11" t="s">
        <v>452</v>
      </c>
      <c r="J4" s="11"/>
    </row>
    <row r="5" spans="3:10" x14ac:dyDescent="0.3">
      <c r="C5" s="105" t="s">
        <v>9</v>
      </c>
      <c r="D5" s="35">
        <f>Transportation!H5</f>
        <v>32336298491.164978</v>
      </c>
      <c r="E5" s="35">
        <f>'Direct Use Apps. ENERGY'!I5</f>
        <v>58439584405.295311</v>
      </c>
      <c r="F5" s="35">
        <f>'Direct Use Apps Household'!G5</f>
        <v>7548061792.4890156</v>
      </c>
      <c r="G5" s="35">
        <f>'Commercial buildings Direct Use'!D5</f>
        <v>134305432970.34573</v>
      </c>
      <c r="H5" s="35">
        <f>'on road vehicles'!Q5</f>
        <v>92324574000</v>
      </c>
      <c r="I5" s="35">
        <f>OffRoad!H5</f>
        <v>1582206397.6535521</v>
      </c>
      <c r="J5" s="35">
        <f>SUM(D5:I5)</f>
        <v>326536158056.94861</v>
      </c>
    </row>
    <row r="6" spans="3:10" x14ac:dyDescent="0.3">
      <c r="C6" s="105" t="s">
        <v>10</v>
      </c>
      <c r="D6" s="35">
        <f>Transportation!H6</f>
        <v>3214976719.6828284</v>
      </c>
      <c r="E6" s="35">
        <f>'Direct Use Apps. ENERGY'!I6</f>
        <v>30215230685.279457</v>
      </c>
      <c r="F6" s="35">
        <f>'Direct Use Apps Household'!G6</f>
        <v>1922377216.134711</v>
      </c>
      <c r="G6" s="35">
        <f>'Commercial buildings Direct Use'!D6</f>
        <v>17359566353.48695</v>
      </c>
      <c r="H6" s="35">
        <f>'on road vehicles'!Q6</f>
        <v>15500666000</v>
      </c>
      <c r="I6" s="35">
        <f>OffRoad!H6</f>
        <v>431510835.72369587</v>
      </c>
      <c r="J6" s="35">
        <f t="shared" ref="J6:J54" si="0">SUM(D6:I6)</f>
        <v>68644327810.307632</v>
      </c>
    </row>
    <row r="7" spans="3:10" x14ac:dyDescent="0.3">
      <c r="C7" s="105" t="s">
        <v>11</v>
      </c>
      <c r="D7" s="35">
        <f>Transportation!H7</f>
        <v>38341764674.245628</v>
      </c>
      <c r="E7" s="35">
        <f>'Direct Use Apps. ENERGY'!I7</f>
        <v>28092554415.787418</v>
      </c>
      <c r="F7" s="35">
        <f>'Direct Use Apps Household'!G7</f>
        <v>18695278616.756439</v>
      </c>
      <c r="G7" s="35">
        <f>'Commercial buildings Direct Use'!D7</f>
        <v>168823229343.64554</v>
      </c>
      <c r="H7" s="35">
        <f>'on road vehicles'!Q7</f>
        <v>97245294000</v>
      </c>
      <c r="I7" s="35">
        <f>OffRoad!H7</f>
        <v>2445228069.1009431</v>
      </c>
      <c r="J7" s="35">
        <f t="shared" si="0"/>
        <v>353643349119.53601</v>
      </c>
    </row>
    <row r="8" spans="3:10" x14ac:dyDescent="0.3">
      <c r="C8" s="105" t="s">
        <v>12</v>
      </c>
      <c r="D8" s="35">
        <f>Transportation!H8</f>
        <v>18256224499.103409</v>
      </c>
      <c r="E8" s="35">
        <f>'Direct Use Apps. ENERGY'!I8</f>
        <v>27747203555.00597</v>
      </c>
      <c r="F8" s="35">
        <f>'Direct Use Apps Household'!G8</f>
        <v>4654078909.1504679</v>
      </c>
      <c r="G8" s="35">
        <f>'Commercial buildings Direct Use'!D8</f>
        <v>82811733681.566544</v>
      </c>
      <c r="H8" s="35">
        <f>'on road vehicles'!Q8</f>
        <v>50410660000</v>
      </c>
      <c r="I8" s="35">
        <f>OffRoad!H8</f>
        <v>863021671.44739175</v>
      </c>
      <c r="J8" s="35">
        <f t="shared" si="0"/>
        <v>184742922316.27377</v>
      </c>
    </row>
    <row r="9" spans="3:10" x14ac:dyDescent="0.3">
      <c r="C9" s="105" t="s">
        <v>13</v>
      </c>
      <c r="D9" s="35">
        <f>Transportation!H9</f>
        <v>184442517837.70621</v>
      </c>
      <c r="E9" s="35">
        <f>'Direct Use Apps. ENERGY'!I9</f>
        <v>184364342972.29224</v>
      </c>
      <c r="F9" s="35">
        <f>'Direct Use Apps Household'!G9</f>
        <v>103118583590.23466</v>
      </c>
      <c r="G9" s="35">
        <f>'Commercial buildings Direct Use'!D9</f>
        <v>931187635333.91174</v>
      </c>
      <c r="H9" s="35">
        <f>'on road vehicles'!Q9</f>
        <v>471273164000</v>
      </c>
      <c r="I9" s="35">
        <f>OffRoad!H9</f>
        <v>20856357059.97863</v>
      </c>
      <c r="J9" s="35">
        <f t="shared" si="0"/>
        <v>1895242600794.1233</v>
      </c>
    </row>
    <row r="10" spans="3:10" x14ac:dyDescent="0.3">
      <c r="C10" s="105" t="s">
        <v>14</v>
      </c>
      <c r="D10" s="35">
        <f>Transportation!H10</f>
        <v>30607962162.436249</v>
      </c>
      <c r="E10" s="35">
        <f>'Direct Use Apps. ENERGY'!I10</f>
        <v>38316739143.206627</v>
      </c>
      <c r="F10" s="35">
        <f>'Direct Use Apps Household'!G10</f>
        <v>14847380344.70298</v>
      </c>
      <c r="G10" s="35">
        <f>'Commercial buildings Direct Use'!D10</f>
        <v>134075706945.57584</v>
      </c>
      <c r="H10" s="35">
        <f>'on road vehicles'!Q10</f>
        <v>89776896000</v>
      </c>
      <c r="I10" s="35">
        <f>OffRoad!H10</f>
        <v>2589065014.3421755</v>
      </c>
      <c r="J10" s="35">
        <f t="shared" si="0"/>
        <v>310213749610.26385</v>
      </c>
    </row>
    <row r="11" spans="3:10" ht="27" x14ac:dyDescent="0.3">
      <c r="C11" s="105" t="s">
        <v>15</v>
      </c>
      <c r="D11" s="35">
        <f>Transportation!H11</f>
        <v>19833091806.866989</v>
      </c>
      <c r="E11" s="35">
        <f>'Direct Use Apps. ENERGY'!I11</f>
        <v>20800620345.463501</v>
      </c>
      <c r="F11" s="35">
        <f>'Direct Use Apps Household'!G11</f>
        <v>11478669711.259897</v>
      </c>
      <c r="G11" s="35">
        <f>'Commercial buildings Direct Use'!D11</f>
        <v>98906987887.365341</v>
      </c>
      <c r="H11" s="35">
        <f>'on road vehicles'!Q11</f>
        <v>44763126000</v>
      </c>
      <c r="I11" s="35">
        <f>OffRoad!H11</f>
        <v>1869880288.1360157</v>
      </c>
      <c r="J11" s="35">
        <f t="shared" si="0"/>
        <v>197652376039.09174</v>
      </c>
    </row>
    <row r="12" spans="3:10" x14ac:dyDescent="0.3">
      <c r="C12" s="105" t="s">
        <v>16</v>
      </c>
      <c r="D12" s="35">
        <f>Transportation!H12</f>
        <v>6150390246.3497581</v>
      </c>
      <c r="E12" s="35">
        <f>'Direct Use Apps. ENERGY'!I12</f>
        <v>8715087061.1112003</v>
      </c>
      <c r="F12" s="35">
        <f>'Direct Use Apps Household'!G12</f>
        <v>3107438414.5473886</v>
      </c>
      <c r="G12" s="35">
        <f>'Commercial buildings Direct Use'!D12</f>
        <v>26775522021.239334</v>
      </c>
      <c r="H12" s="35">
        <f>'on road vehicles'!Q12</f>
        <v>16354876000</v>
      </c>
      <c r="I12" s="35">
        <f>OffRoad!H12</f>
        <v>575347780.96492791</v>
      </c>
      <c r="J12" s="35">
        <f t="shared" si="0"/>
        <v>61678661524.212608</v>
      </c>
    </row>
    <row r="13" spans="3:10" x14ac:dyDescent="0.3">
      <c r="C13" s="105" t="s">
        <v>17</v>
      </c>
      <c r="D13" s="35">
        <f>Transportation!H13</f>
        <v>93891625622.2742</v>
      </c>
      <c r="E13" s="35">
        <f>'Direct Use Apps. ENERGY'!I13</f>
        <v>121773560865.62602</v>
      </c>
      <c r="F13" s="35">
        <f>'Direct Use Apps Household'!G13</f>
        <v>32891338834.086685</v>
      </c>
      <c r="G13" s="35">
        <f>'Commercial buildings Direct Use'!D13</f>
        <v>585247660198.29688</v>
      </c>
      <c r="H13" s="35">
        <f>'on road vehicles'!Q13</f>
        <v>260383816000</v>
      </c>
      <c r="I13" s="35">
        <f>OffRoad!H13</f>
        <v>7335684207.3028288</v>
      </c>
      <c r="J13" s="35">
        <f t="shared" si="0"/>
        <v>1101523685727.5864</v>
      </c>
    </row>
    <row r="14" spans="3:10" x14ac:dyDescent="0.3">
      <c r="C14" s="105" t="s">
        <v>18</v>
      </c>
      <c r="D14" s="35">
        <f>Transportation!H14</f>
        <v>63553409216.309792</v>
      </c>
      <c r="E14" s="35">
        <f>'Direct Use Apps. ENERGY'!I14</f>
        <v>60784983157.081917</v>
      </c>
      <c r="F14" s="35">
        <f>'Direct Use Apps Household'!G14</f>
        <v>16244628249.097281</v>
      </c>
      <c r="G14" s="35">
        <f>'Commercial buildings Direct Use'!D14</f>
        <v>289046630832.87756</v>
      </c>
      <c r="H14" s="35">
        <f>'on road vehicles'!Q14</f>
        <v>136991110000</v>
      </c>
      <c r="I14" s="35">
        <f>OffRoad!H14</f>
        <v>4171271411.9957266</v>
      </c>
      <c r="J14" s="35">
        <f t="shared" si="0"/>
        <v>570792032867.3623</v>
      </c>
    </row>
    <row r="15" spans="3:10" x14ac:dyDescent="0.3">
      <c r="C15" s="105" t="s">
        <v>19</v>
      </c>
      <c r="D15" s="35">
        <f>Transportation!H15</f>
        <v>5944224078.9249897</v>
      </c>
      <c r="E15" s="35">
        <f>'Direct Use Apps. ENERGY'!I15</f>
        <v>271284717.64976692</v>
      </c>
      <c r="F15" s="35">
        <f>'Direct Use Apps Household'!G15</f>
        <v>3702981856.2705083</v>
      </c>
      <c r="G15" s="35">
        <f>'Commercial buildings Direct Use'!D15</f>
        <v>33438889464.647919</v>
      </c>
      <c r="H15" s="35">
        <f>'on road vehicles'!Q15</f>
        <v>20636108000</v>
      </c>
      <c r="I15" s="35">
        <f>OffRoad!H15</f>
        <v>575347780.96492791</v>
      </c>
      <c r="J15" s="35">
        <f t="shared" si="0"/>
        <v>64568835898.458107</v>
      </c>
    </row>
    <row r="16" spans="3:10" x14ac:dyDescent="0.3">
      <c r="C16" s="105" t="s">
        <v>20</v>
      </c>
      <c r="D16" s="35">
        <f>Transportation!H16</f>
        <v>9617347837.3295231</v>
      </c>
      <c r="E16" s="35">
        <f>'Direct Use Apps. ENERGY'!I16</f>
        <v>9672007655.6285362</v>
      </c>
      <c r="F16" s="35">
        <f>'Direct Use Apps Household'!G16</f>
        <v>4572926119.2957764</v>
      </c>
      <c r="G16" s="35">
        <f>'Commercial buildings Direct Use'!D16</f>
        <v>41294712469.139961</v>
      </c>
      <c r="H16" s="35">
        <f>'on road vehicles'!Q16</f>
        <v>33067806000</v>
      </c>
      <c r="I16" s="35">
        <f>OffRoad!H16</f>
        <v>575347780.96492791</v>
      </c>
      <c r="J16" s="35">
        <f t="shared" si="0"/>
        <v>98800147862.358734</v>
      </c>
    </row>
    <row r="17" spans="3:10" x14ac:dyDescent="0.3">
      <c r="C17" s="105" t="s">
        <v>21</v>
      </c>
      <c r="D17" s="35">
        <f>Transportation!H17</f>
        <v>60289345313.906769</v>
      </c>
      <c r="E17" s="35">
        <f>'Direct Use Apps. ENERGY'!I17</f>
        <v>86719313048.360077</v>
      </c>
      <c r="F17" s="35">
        <f>'Direct Use Apps Household'!G17</f>
        <v>38056676465.154694</v>
      </c>
      <c r="G17" s="35">
        <f>'Commercial buildings Direct Use'!D17</f>
        <v>352880873523.30768</v>
      </c>
      <c r="H17" s="35">
        <f>'on road vehicles'!Q17</f>
        <v>167610758000</v>
      </c>
      <c r="I17" s="35">
        <f>OffRoad!H17</f>
        <v>6041151700.1317425</v>
      </c>
      <c r="J17" s="35">
        <f t="shared" si="0"/>
        <v>711598118050.86096</v>
      </c>
    </row>
    <row r="18" spans="3:10" x14ac:dyDescent="0.3">
      <c r="C18" s="105" t="s">
        <v>22</v>
      </c>
      <c r="D18" s="35">
        <f>Transportation!H18</f>
        <v>39254786272.841019</v>
      </c>
      <c r="E18" s="35">
        <f>'Direct Use Apps. ENERGY'!I18</f>
        <v>64601398397.811646</v>
      </c>
      <c r="F18" s="35">
        <f>'Direct Use Apps Household'!G18</f>
        <v>19988151396.136471</v>
      </c>
      <c r="G18" s="35">
        <f>'Commercial buildings Direct Use'!D18</f>
        <v>185340312920.99298</v>
      </c>
      <c r="H18" s="35">
        <f>'on road vehicles'!Q18</f>
        <v>105336518000</v>
      </c>
      <c r="I18" s="35">
        <f>OffRoad!H18</f>
        <v>2589065014.3421755</v>
      </c>
      <c r="J18" s="35">
        <f t="shared" si="0"/>
        <v>417110232002.12427</v>
      </c>
    </row>
    <row r="19" spans="3:10" x14ac:dyDescent="0.3">
      <c r="C19" s="105" t="s">
        <v>23</v>
      </c>
      <c r="D19" s="35">
        <f>Transportation!H19</f>
        <v>14597125650.047497</v>
      </c>
      <c r="E19" s="35">
        <f>'Direct Use Apps. ENERGY'!I19</f>
        <v>34016448391.923214</v>
      </c>
      <c r="F19" s="35">
        <f>'Direct Use Apps Household'!G19</f>
        <v>9427174866.0329933</v>
      </c>
      <c r="G19" s="35">
        <f>'Commercial buildings Direct Use'!D19</f>
        <v>87413563415.834442</v>
      </c>
      <c r="H19" s="35">
        <f>'on road vehicles'!Q19</f>
        <v>63220708000</v>
      </c>
      <c r="I19" s="35">
        <f>OffRoad!H19</f>
        <v>1294532507.1710877</v>
      </c>
      <c r="J19" s="35">
        <f t="shared" si="0"/>
        <v>209969552831.00922</v>
      </c>
    </row>
    <row r="20" spans="3:10" x14ac:dyDescent="0.3">
      <c r="C20" s="105" t="s">
        <v>24</v>
      </c>
      <c r="D20" s="35">
        <f>Transportation!H20</f>
        <v>20765280781.572182</v>
      </c>
      <c r="E20" s="35">
        <f>'Direct Use Apps. ENERGY'!I20</f>
        <v>23769729389.824795</v>
      </c>
      <c r="F20" s="35">
        <f>'Direct Use Apps Household'!G20</f>
        <v>8696453033.1557617</v>
      </c>
      <c r="G20" s="35">
        <f>'Commercial buildings Direct Use'!D20</f>
        <v>80637938672.975739</v>
      </c>
      <c r="H20" s="35">
        <f>'on road vehicles'!Q20</f>
        <v>45835086000</v>
      </c>
      <c r="I20" s="35">
        <f>OffRoad!H20</f>
        <v>1150695561.9298558</v>
      </c>
      <c r="J20" s="35">
        <f t="shared" si="0"/>
        <v>180855183439.45834</v>
      </c>
    </row>
    <row r="21" spans="3:10" x14ac:dyDescent="0.3">
      <c r="C21" s="105" t="s">
        <v>25</v>
      </c>
      <c r="D21" s="35">
        <f>Transportation!H21</f>
        <v>26009194387.022556</v>
      </c>
      <c r="E21" s="35">
        <f>'Direct Use Apps. ENERGY'!I21</f>
        <v>25117418763.08168</v>
      </c>
      <c r="F21" s="35">
        <f>'Direct Use Apps Household'!G21</f>
        <v>6900299621.1809807</v>
      </c>
      <c r="G21" s="35">
        <f>'Commercial buildings Direct Use'!D21</f>
        <v>122779562982.64806</v>
      </c>
      <c r="H21" s="35">
        <f>'on road vehicles'!Q21</f>
        <v>71715688000</v>
      </c>
      <c r="I21" s="35">
        <f>OffRoad!H21</f>
        <v>1438369452.4123194</v>
      </c>
      <c r="J21" s="35">
        <f t="shared" si="0"/>
        <v>253960533206.34561</v>
      </c>
    </row>
    <row r="22" spans="3:10" x14ac:dyDescent="0.3">
      <c r="C22" s="105" t="s">
        <v>26</v>
      </c>
      <c r="D22" s="35">
        <f>Transportation!H22</f>
        <v>35980437436.915695</v>
      </c>
      <c r="E22" s="35">
        <f>'Direct Use Apps. ENERGY'!I22</f>
        <v>138632429985.2254</v>
      </c>
      <c r="F22" s="35">
        <f>'Direct Use Apps Household'!G22</f>
        <v>7196139565.8026533</v>
      </c>
      <c r="G22" s="35">
        <f>'Commercial buildings Direct Use'!D22</f>
        <v>128043551665.395</v>
      </c>
      <c r="H22" s="35">
        <f>'on road vehicles'!Q22</f>
        <v>68647830000</v>
      </c>
      <c r="I22" s="35">
        <f>OffRoad!H22</f>
        <v>1726043342.8947835</v>
      </c>
      <c r="J22" s="35">
        <f t="shared" si="0"/>
        <v>380226431996.23352</v>
      </c>
    </row>
    <row r="23" spans="3:10" x14ac:dyDescent="0.3">
      <c r="C23" s="105" t="s">
        <v>27</v>
      </c>
      <c r="D23" s="35">
        <f>Transportation!H23</f>
        <v>9314409795.3992558</v>
      </c>
      <c r="E23" s="35">
        <f>'Direct Use Apps. ENERGY'!I23</f>
        <v>4291993247.0410638</v>
      </c>
      <c r="F23" s="35">
        <f>'Direct Use Apps Household'!G23</f>
        <v>4300178565.9246225</v>
      </c>
      <c r="G23" s="35">
        <f>'Commercial buildings Direct Use'!D23</f>
        <v>37052874595.40744</v>
      </c>
      <c r="H23" s="35">
        <f>'on road vehicles'!Q23</f>
        <v>18919076000</v>
      </c>
      <c r="I23" s="35">
        <f>OffRoad!H23</f>
        <v>431510835.72369587</v>
      </c>
      <c r="J23" s="35">
        <f t="shared" si="0"/>
        <v>74310043039.496078</v>
      </c>
    </row>
    <row r="24" spans="3:10" x14ac:dyDescent="0.3">
      <c r="C24" s="105" t="s">
        <v>28</v>
      </c>
      <c r="D24" s="35">
        <f>Transportation!H24</f>
        <v>25215852014.868752</v>
      </c>
      <c r="E24" s="35">
        <f>'Direct Use Apps. ENERGY'!I24</f>
        <v>19499222311.66391</v>
      </c>
      <c r="F24" s="35">
        <f>'Direct Use Apps Household'!G24</f>
        <v>19414740559.298168</v>
      </c>
      <c r="G24" s="35">
        <f>'Commercial buildings Direct Use'!D24</f>
        <v>167288854687.68121</v>
      </c>
      <c r="H24" s="35">
        <f>'on road vehicles'!Q24</f>
        <v>66132432000</v>
      </c>
      <c r="I24" s="35">
        <f>OffRoad!H24</f>
        <v>2876738904.8246388</v>
      </c>
      <c r="J24" s="35">
        <f t="shared" si="0"/>
        <v>300427840478.33667</v>
      </c>
    </row>
    <row r="25" spans="3:10" ht="27" x14ac:dyDescent="0.3">
      <c r="C25" s="105" t="s">
        <v>29</v>
      </c>
      <c r="D25" s="35">
        <f>Transportation!H25</f>
        <v>30485945451.103233</v>
      </c>
      <c r="E25" s="35">
        <f>'Direct Use Apps. ENERGY'!I25</f>
        <v>39257064729.239273</v>
      </c>
      <c r="F25" s="35">
        <f>'Direct Use Apps Household'!G25</f>
        <v>22176019489.34557</v>
      </c>
      <c r="G25" s="35">
        <f>'Commercial buildings Direct Use'!D25</f>
        <v>191081662439.60483</v>
      </c>
      <c r="H25" s="35">
        <f>'on road vehicles'!Q25</f>
        <v>81183874000</v>
      </c>
      <c r="I25" s="35">
        <f>OffRoad!H25</f>
        <v>4027434466.7544942</v>
      </c>
      <c r="J25" s="35">
        <f t="shared" si="0"/>
        <v>368212000576.04742</v>
      </c>
    </row>
    <row r="26" spans="3:10" x14ac:dyDescent="0.3">
      <c r="C26" s="105" t="s">
        <v>30</v>
      </c>
      <c r="D26" s="35">
        <f>Transportation!H26</f>
        <v>59725543958.09211</v>
      </c>
      <c r="E26" s="35">
        <f>'Direct Use Apps. ENERGY'!I26</f>
        <v>76351625168.62323</v>
      </c>
      <c r="F26" s="35">
        <f>'Direct Use Apps Household'!G26</f>
        <v>29857068877.064331</v>
      </c>
      <c r="G26" s="35">
        <f>'Commercial buildings Direct Use'!D26</f>
        <v>276849938691.59711</v>
      </c>
      <c r="H26" s="35">
        <f>'on road vehicles'!Q26</f>
        <v>142438662000</v>
      </c>
      <c r="I26" s="35">
        <f>OffRoad!H26</f>
        <v>3739760576.2720313</v>
      </c>
      <c r="J26" s="35">
        <f t="shared" si="0"/>
        <v>588962599271.64868</v>
      </c>
    </row>
    <row r="27" spans="3:10" x14ac:dyDescent="0.3">
      <c r="C27" s="105" t="s">
        <v>31</v>
      </c>
      <c r="D27" s="35">
        <f>Transportation!H27</f>
        <v>29070364600.848816</v>
      </c>
      <c r="E27" s="35">
        <f>'Direct Use Apps. ENERGY'!I27</f>
        <v>40295824918.231117</v>
      </c>
      <c r="F27" s="35">
        <f>'Direct Use Apps Household'!G27</f>
        <v>16760182322.932615</v>
      </c>
      <c r="G27" s="35">
        <f>'Commercial buildings Direct Use'!D27</f>
        <v>155408940766.06064</v>
      </c>
      <c r="H27" s="35">
        <f>'on road vehicles'!Q27</f>
        <v>90399178000</v>
      </c>
      <c r="I27" s="35">
        <f>OffRoad!H27</f>
        <v>2589065014.3421755</v>
      </c>
      <c r="J27" s="35">
        <f t="shared" si="0"/>
        <v>334523555622.41534</v>
      </c>
    </row>
    <row r="28" spans="3:10" x14ac:dyDescent="0.3">
      <c r="C28" s="105" t="s">
        <v>32</v>
      </c>
      <c r="D28" s="35">
        <f>Transportation!H28</f>
        <v>21736272005.475227</v>
      </c>
      <c r="E28" s="35">
        <f>'Direct Use Apps. ENERGY'!I28</f>
        <v>46554239328.55835</v>
      </c>
      <c r="F28" s="35">
        <f>'Direct Use Apps Household'!G28</f>
        <v>4611928789.6759586</v>
      </c>
      <c r="G28" s="35">
        <f>'Commercial buildings Direct Use'!D28</f>
        <v>82061741140.248322</v>
      </c>
      <c r="H28" s="35">
        <f>'on road vehicles'!Q28</f>
        <v>35604982000</v>
      </c>
      <c r="I28" s="35">
        <f>OffRoad!H28</f>
        <v>863021671.44739175</v>
      </c>
      <c r="J28" s="35">
        <f t="shared" si="0"/>
        <v>191432184935.40524</v>
      </c>
    </row>
    <row r="29" spans="3:10" x14ac:dyDescent="0.3">
      <c r="C29" s="105" t="s">
        <v>33</v>
      </c>
      <c r="D29" s="35">
        <f>Transportation!H29</f>
        <v>37116455094.154205</v>
      </c>
      <c r="E29" s="35">
        <f>'Direct Use Apps. ENERGY'!I29</f>
        <v>22708347584.003811</v>
      </c>
      <c r="F29" s="35">
        <f>'Direct Use Apps Household'!G29</f>
        <v>9460732139.7634926</v>
      </c>
      <c r="G29" s="35">
        <f>'Commercial buildings Direct Use'!D29</f>
        <v>168338278246.71329</v>
      </c>
      <c r="H29" s="35">
        <f>'on road vehicles'!Q29</f>
        <v>97303768000</v>
      </c>
      <c r="I29" s="35">
        <f>OffRoad!H29</f>
        <v>2157554178.6184797</v>
      </c>
      <c r="J29" s="35">
        <f t="shared" si="0"/>
        <v>337085135243.25323</v>
      </c>
    </row>
    <row r="30" spans="3:10" x14ac:dyDescent="0.3">
      <c r="C30" s="105" t="s">
        <v>34</v>
      </c>
      <c r="D30" s="35">
        <f>Transportation!H30</f>
        <v>9562650690.869894</v>
      </c>
      <c r="E30" s="35">
        <f>'Direct Use Apps. ENERGY'!I30</f>
        <v>7022658222.1222963</v>
      </c>
      <c r="F30" s="35">
        <f>'Direct Use Apps Household'!G30</f>
        <v>2769251013.0831122</v>
      </c>
      <c r="G30" s="35">
        <f>'Commercial buildings Direct Use'!D30</f>
        <v>25007057047.69886</v>
      </c>
      <c r="H30" s="35">
        <f>'on road vehicles'!Q30</f>
        <v>29664934000</v>
      </c>
      <c r="I30" s="35">
        <f>OffRoad!H30</f>
        <v>287673890.48246396</v>
      </c>
      <c r="J30" s="35">
        <f t="shared" si="0"/>
        <v>74314224864.256638</v>
      </c>
    </row>
    <row r="31" spans="3:10" x14ac:dyDescent="0.3">
      <c r="C31" s="105" t="s">
        <v>35</v>
      </c>
      <c r="D31" s="35">
        <f>Transportation!H31</f>
        <v>10573379157.92737</v>
      </c>
      <c r="E31" s="35">
        <f>'Direct Use Apps. ENERGY'!I31</f>
        <v>14464471421.707966</v>
      </c>
      <c r="F31" s="35">
        <f>'Direct Use Apps Household'!G31</f>
        <v>5762582770.8935251</v>
      </c>
      <c r="G31" s="35">
        <f>'Commercial buildings Direct Use'!D31</f>
        <v>53433600377.720314</v>
      </c>
      <c r="H31" s="35">
        <f>'on road vehicles'!Q31</f>
        <v>34527648000</v>
      </c>
      <c r="I31" s="35">
        <f>OffRoad!H31</f>
        <v>863021671.44739175</v>
      </c>
      <c r="J31" s="35">
        <f t="shared" si="0"/>
        <v>119624703399.69656</v>
      </c>
    </row>
    <row r="32" spans="3:10" x14ac:dyDescent="0.3">
      <c r="C32" s="105" t="s">
        <v>36</v>
      </c>
      <c r="D32" s="35">
        <f>Transportation!H32</f>
        <v>15255361395.476236</v>
      </c>
      <c r="E32" s="35">
        <f>'Direct Use Apps. ENERGY'!I32</f>
        <v>25766021568.383415</v>
      </c>
      <c r="F32" s="35">
        <f>'Direct Use Apps Household'!G32</f>
        <v>7910151152.5327387</v>
      </c>
      <c r="G32" s="35">
        <f>'Commercial buildings Direct Use'!D32</f>
        <v>71430722672.943314</v>
      </c>
      <c r="H32" s="35">
        <f>'on road vehicles'!Q32</f>
        <v>39194684000</v>
      </c>
      <c r="I32" s="35">
        <f>OffRoad!H32</f>
        <v>1150695561.9298558</v>
      </c>
      <c r="J32" s="35">
        <f t="shared" si="0"/>
        <v>160707636351.26556</v>
      </c>
    </row>
    <row r="33" spans="3:10" ht="27" x14ac:dyDescent="0.3">
      <c r="C33" s="105" t="s">
        <v>37</v>
      </c>
      <c r="D33" s="35">
        <f>Transportation!H33</f>
        <v>7141483840.3191624</v>
      </c>
      <c r="E33" s="35">
        <f>'Direct Use Apps. ENERGY'!I33</f>
        <v>4557775409.2459059</v>
      </c>
      <c r="F33" s="35">
        <f>'Direct Use Apps Household'!G33</f>
        <v>4358184537.0881901</v>
      </c>
      <c r="G33" s="35">
        <f>'Commercial buildings Direct Use'!D33</f>
        <v>37552688252.528526</v>
      </c>
      <c r="H33" s="35">
        <f>'on road vehicles'!Q33</f>
        <v>21574100000</v>
      </c>
      <c r="I33" s="35">
        <f>OffRoad!H33</f>
        <v>575347780.96492791</v>
      </c>
      <c r="J33" s="35">
        <f t="shared" si="0"/>
        <v>75759579820.146729</v>
      </c>
    </row>
    <row r="34" spans="3:10" x14ac:dyDescent="0.3">
      <c r="C34" s="105" t="s">
        <v>38</v>
      </c>
      <c r="D34" s="35">
        <f>Transportation!H34</f>
        <v>47552857637.443344</v>
      </c>
      <c r="E34" s="35">
        <f>'Direct Use Apps. ENERGY'!I34</f>
        <v>61941742590.614914</v>
      </c>
      <c r="F34" s="35">
        <f>'Direct Use Apps Household'!G34</f>
        <v>28622319387.950737</v>
      </c>
      <c r="G34" s="35">
        <f>'Commercial buildings Direct Use'!D34</f>
        <v>246626784132.95169</v>
      </c>
      <c r="H34" s="35">
        <f>'on road vehicles'!Q34</f>
        <v>93894002000</v>
      </c>
      <c r="I34" s="35">
        <f>OffRoad!H34</f>
        <v>4315108357.2369595</v>
      </c>
      <c r="J34" s="35">
        <f t="shared" si="0"/>
        <v>482952814106.19763</v>
      </c>
    </row>
    <row r="35" spans="3:10" x14ac:dyDescent="0.3">
      <c r="C35" s="105" t="s">
        <v>39</v>
      </c>
      <c r="D35" s="35">
        <f>Transportation!H35</f>
        <v>13354051184.781153</v>
      </c>
      <c r="E35" s="35">
        <f>'Direct Use Apps. ENERGY'!I35</f>
        <v>20961242559.16534</v>
      </c>
      <c r="F35" s="35">
        <f>'Direct Use Apps Household'!G35</f>
        <v>5462429445.2560415</v>
      </c>
      <c r="G35" s="35">
        <f>'Commercial buildings Direct Use'!D35</f>
        <v>49327158900.076279</v>
      </c>
      <c r="H35" s="35">
        <f>'on road vehicles'!Q35</f>
        <v>31884882000</v>
      </c>
      <c r="I35" s="35">
        <f>OffRoad!H35</f>
        <v>719184726.20615971</v>
      </c>
      <c r="J35" s="35">
        <f t="shared" si="0"/>
        <v>121708948815.48497</v>
      </c>
    </row>
    <row r="36" spans="3:10" x14ac:dyDescent="0.3">
      <c r="C36" s="105" t="s">
        <v>40</v>
      </c>
      <c r="D36" s="35">
        <f>Transportation!H36</f>
        <v>71295626673.728333</v>
      </c>
      <c r="E36" s="35">
        <f>'Direct Use Apps. ENERGY'!I36</f>
        <v>109644443848.46393</v>
      </c>
      <c r="F36" s="35">
        <f>'Direct Use Apps Household'!G36</f>
        <v>62787460492.212547</v>
      </c>
      <c r="G36" s="35">
        <f>'Commercial buildings Direct Use'!D36</f>
        <v>541013789105.71289</v>
      </c>
      <c r="H36" s="35">
        <f>'on road vehicles'!Q36</f>
        <v>180688030000</v>
      </c>
      <c r="I36" s="35">
        <f>OffRoad!H36</f>
        <v>11794629509.781019</v>
      </c>
      <c r="J36" s="35">
        <f t="shared" si="0"/>
        <v>977223979629.89868</v>
      </c>
    </row>
    <row r="37" spans="3:10" ht="27" x14ac:dyDescent="0.3">
      <c r="C37" s="105" t="s">
        <v>41</v>
      </c>
      <c r="D37" s="35">
        <f>Transportation!H37</f>
        <v>56957494349.652077</v>
      </c>
      <c r="E37" s="35">
        <f>'Direct Use Apps. ENERGY'!I37</f>
        <v>44495584854.957253</v>
      </c>
      <c r="F37" s="35">
        <f>'Direct Use Apps Household'!G37</f>
        <v>16034835082.538961</v>
      </c>
      <c r="G37" s="35">
        <f>'Commercial buildings Direct Use'!D37</f>
        <v>285313704044.05957</v>
      </c>
      <c r="H37" s="35">
        <f>'on road vehicles'!Q37</f>
        <v>137710228000</v>
      </c>
      <c r="I37" s="35">
        <f>OffRoad!H37</f>
        <v>4027434466.7544942</v>
      </c>
      <c r="J37" s="35">
        <f t="shared" si="0"/>
        <v>544539280797.9624</v>
      </c>
    </row>
    <row r="38" spans="3:10" ht="27" x14ac:dyDescent="0.3">
      <c r="C38" s="105" t="s">
        <v>42</v>
      </c>
      <c r="D38" s="35">
        <f>Transportation!H38</f>
        <v>5079354669.0931997</v>
      </c>
      <c r="E38" s="35">
        <f>'Direct Use Apps. ENERGY'!I38</f>
        <v>9802409485.4582539</v>
      </c>
      <c r="F38" s="35">
        <f>'Direct Use Apps Household'!G38</f>
        <v>2270294549.4106765</v>
      </c>
      <c r="G38" s="35">
        <f>'Commercial buildings Direct Use'!D38</f>
        <v>21051326551.985786</v>
      </c>
      <c r="H38" s="35">
        <f>'on road vehicles'!Q38</f>
        <v>16750168000</v>
      </c>
      <c r="I38" s="35">
        <f>OffRoad!H38</f>
        <v>431510835.72369587</v>
      </c>
      <c r="J38" s="35">
        <f t="shared" si="0"/>
        <v>55385064091.671608</v>
      </c>
    </row>
    <row r="39" spans="3:10" x14ac:dyDescent="0.3">
      <c r="C39" s="105" t="s">
        <v>43</v>
      </c>
      <c r="D39" s="35">
        <f>Transportation!H39</f>
        <v>62250027640.844368</v>
      </c>
      <c r="E39" s="35">
        <f>'Direct Use Apps. ENERGY'!I39</f>
        <v>82705242522.362671</v>
      </c>
      <c r="F39" s="35">
        <f>'Direct Use Apps Household'!G39</f>
        <v>34915510478.875488</v>
      </c>
      <c r="G39" s="35">
        <f>'Commercial buildings Direct Use'!D39</f>
        <v>323754383769.66791</v>
      </c>
      <c r="H39" s="35">
        <f>'on road vehicles'!Q39</f>
        <v>172710460000</v>
      </c>
      <c r="I39" s="35">
        <f>OffRoad!H39</f>
        <v>4746619192.9606543</v>
      </c>
      <c r="J39" s="35">
        <f t="shared" si="0"/>
        <v>681082243604.71118</v>
      </c>
    </row>
    <row r="40" spans="3:10" x14ac:dyDescent="0.3">
      <c r="C40" s="105" t="s">
        <v>44</v>
      </c>
      <c r="D40" s="35">
        <f>Transportation!H40</f>
        <v>26495391244.441517</v>
      </c>
      <c r="E40" s="35">
        <f>'Direct Use Apps. ENERGY'!I40</f>
        <v>58587105296.509232</v>
      </c>
      <c r="F40" s="35">
        <f>'Direct Use Apps Household'!G40</f>
        <v>11777689315.155832</v>
      </c>
      <c r="G40" s="35">
        <f>'Commercial buildings Direct Use'!D40</f>
        <v>109208729706.69756</v>
      </c>
      <c r="H40" s="35">
        <f>'on road vehicles'!Q40</f>
        <v>64664922000</v>
      </c>
      <c r="I40" s="35">
        <f>OffRoad!H40</f>
        <v>1438369452.4123194</v>
      </c>
      <c r="J40" s="35">
        <f t="shared" si="0"/>
        <v>272172207015.21646</v>
      </c>
    </row>
    <row r="41" spans="3:10" x14ac:dyDescent="0.3">
      <c r="C41" s="105" t="s">
        <v>45</v>
      </c>
      <c r="D41" s="35">
        <f>Transportation!H41</f>
        <v>19984093330.85384</v>
      </c>
      <c r="E41" s="35">
        <f>'Direct Use Apps. ENERGY'!I41</f>
        <v>20239534374.38105</v>
      </c>
      <c r="F41" s="35">
        <f>'Direct Use Apps Household'!G41</f>
        <v>10924486113.489595</v>
      </c>
      <c r="G41" s="35">
        <f>'Commercial buildings Direct Use'!D41</f>
        <v>98650951526.664413</v>
      </c>
      <c r="H41" s="35">
        <f>'on road vehicles'!Q41</f>
        <v>64883044000</v>
      </c>
      <c r="I41" s="35">
        <f>OffRoad!H41</f>
        <v>1726043342.8947835</v>
      </c>
      <c r="J41" s="35">
        <f t="shared" si="0"/>
        <v>216408152688.28369</v>
      </c>
    </row>
    <row r="42" spans="3:10" ht="27" x14ac:dyDescent="0.3">
      <c r="C42" s="105" t="s">
        <v>46</v>
      </c>
      <c r="D42" s="35">
        <f>Transportation!H42</f>
        <v>44746005779.805473</v>
      </c>
      <c r="E42" s="35">
        <f>'Direct Use Apps. ENERGY'!I42</f>
        <v>110398031917.96881</v>
      </c>
      <c r="F42" s="35">
        <f>'Direct Use Apps Household'!G42</f>
        <v>41147997842.587585</v>
      </c>
      <c r="G42" s="35">
        <f>'Commercial buildings Direct Use'!D42</f>
        <v>354555416836.66431</v>
      </c>
      <c r="H42" s="35">
        <f>'on road vehicles'!Q42</f>
        <v>175524162000</v>
      </c>
      <c r="I42" s="35">
        <f>OffRoad!H42</f>
        <v>5465803919.1668158</v>
      </c>
      <c r="J42" s="35">
        <f t="shared" si="0"/>
        <v>731837418296.19299</v>
      </c>
    </row>
    <row r="43" spans="3:10" ht="27" x14ac:dyDescent="0.3">
      <c r="C43" s="105" t="s">
        <v>47</v>
      </c>
      <c r="D43" s="35">
        <f>Transportation!H43</f>
        <v>8737986021.1708241</v>
      </c>
      <c r="E43" s="35">
        <f>'Direct Use Apps. ENERGY'!I43</f>
        <v>7196032389.7123766</v>
      </c>
      <c r="F43" s="35">
        <f>'Direct Use Apps Household'!G43</f>
        <v>3397063443.0490289</v>
      </c>
      <c r="G43" s="35">
        <f>'Commercial buildings Direct Use'!D43</f>
        <v>29271102075.937622</v>
      </c>
      <c r="H43" s="35">
        <f>'on road vehicles'!Q43</f>
        <v>13382786000</v>
      </c>
      <c r="I43" s="35">
        <f>OffRoad!H43</f>
        <v>431510835.72369587</v>
      </c>
      <c r="J43" s="35">
        <f t="shared" si="0"/>
        <v>62416480765.593552</v>
      </c>
    </row>
    <row r="44" spans="3:10" ht="27" x14ac:dyDescent="0.3">
      <c r="C44" s="105" t="s">
        <v>48</v>
      </c>
      <c r="D44" s="35">
        <f>Transportation!H44</f>
        <v>33848183718.946609</v>
      </c>
      <c r="E44" s="35">
        <f>'Direct Use Apps. ENERGY'!I44</f>
        <v>24151239900.67289</v>
      </c>
      <c r="F44" s="35">
        <f>'Direct Use Apps Household'!G44</f>
        <v>7851128795.5148172</v>
      </c>
      <c r="G44" s="35">
        <f>'Commercial buildings Direct Use'!D44</f>
        <v>139698015354.99301</v>
      </c>
      <c r="H44" s="35">
        <f>'on road vehicles'!Q44</f>
        <v>71883834000</v>
      </c>
      <c r="I44" s="35">
        <f>OffRoad!H44</f>
        <v>1582206397.6535521</v>
      </c>
      <c r="J44" s="35">
        <f t="shared" si="0"/>
        <v>279014608167.78088</v>
      </c>
    </row>
    <row r="45" spans="3:10" ht="27" x14ac:dyDescent="0.3">
      <c r="C45" s="105" t="s">
        <v>49</v>
      </c>
      <c r="D45" s="35">
        <f>Transportation!H45</f>
        <v>5800702506.5907412</v>
      </c>
      <c r="E45" s="35">
        <f>'Direct Use Apps. ENERGY'!I45</f>
        <v>7116987744.0352879</v>
      </c>
      <c r="F45" s="35">
        <f>'Direct Use Apps Household'!G45</f>
        <v>2635171583.667613</v>
      </c>
      <c r="G45" s="35">
        <f>'Commercial buildings Direct Use'!D45</f>
        <v>24434652121.54977</v>
      </c>
      <c r="H45" s="35">
        <f>'on road vehicles'!Q45</f>
        <v>21573788000</v>
      </c>
      <c r="I45" s="35">
        <f>OffRoad!H45</f>
        <v>431510835.72369587</v>
      </c>
      <c r="J45" s="35">
        <f t="shared" si="0"/>
        <v>61992812791.567108</v>
      </c>
    </row>
    <row r="46" spans="3:10" x14ac:dyDescent="0.3">
      <c r="C46" s="105" t="s">
        <v>50</v>
      </c>
      <c r="D46" s="35">
        <f>Transportation!H46</f>
        <v>45037723894.256836</v>
      </c>
      <c r="E46" s="35">
        <f>'Direct Use Apps. ENERGY'!I46</f>
        <v>28258679184.934181</v>
      </c>
      <c r="F46" s="35">
        <f>'Direct Use Apps Household'!G46</f>
        <v>10454542236.439661</v>
      </c>
      <c r="G46" s="35">
        <f>'Commercial buildings Direct Use'!D46</f>
        <v>186021505940.63763</v>
      </c>
      <c r="H46" s="35">
        <f>'on road vehicles'!Q46</f>
        <v>96002450000</v>
      </c>
      <c r="I46" s="35">
        <f>OffRoad!H46</f>
        <v>2589065014.3421755</v>
      </c>
      <c r="J46" s="35">
        <f t="shared" si="0"/>
        <v>368363966270.61047</v>
      </c>
    </row>
    <row r="47" spans="3:10" x14ac:dyDescent="0.3">
      <c r="C47" s="105" t="s">
        <v>51</v>
      </c>
      <c r="D47" s="35">
        <f>Transportation!H47</f>
        <v>203386897888.84875</v>
      </c>
      <c r="E47" s="35">
        <f>'Direct Use Apps. ENERGY'!I47</f>
        <v>339461466954.53064</v>
      </c>
      <c r="F47" s="35">
        <f>'Direct Use Apps Household'!G47</f>
        <v>44322630367.790367</v>
      </c>
      <c r="G47" s="35">
        <f>'Commercial buildings Direct Use'!D47</f>
        <v>788648824769.05664</v>
      </c>
      <c r="H47" s="35">
        <f>'on road vehicles'!Q47</f>
        <v>382077278000</v>
      </c>
      <c r="I47" s="35">
        <f>OffRoad!H47</f>
        <v>12513814235.987183</v>
      </c>
      <c r="J47" s="35">
        <f t="shared" si="0"/>
        <v>1770410912216.2139</v>
      </c>
    </row>
    <row r="48" spans="3:10" x14ac:dyDescent="0.3">
      <c r="C48" s="105" t="s">
        <v>53</v>
      </c>
      <c r="D48" s="35">
        <f>Transportation!H48</f>
        <v>17184721424.868557</v>
      </c>
      <c r="E48" s="35">
        <f>'Direct Use Apps. ENERGY'!I48</f>
        <v>19397643391.307606</v>
      </c>
      <c r="F48" s="35">
        <f>'Direct Use Apps Household'!G48</f>
        <v>8240470696.9392881</v>
      </c>
      <c r="G48" s="35">
        <f>'Commercial buildings Direct Use'!D48</f>
        <v>74413594089.047974</v>
      </c>
      <c r="H48" s="35">
        <f>'on road vehicles'!Q48</f>
        <v>38795286000</v>
      </c>
      <c r="I48" s="35">
        <f>OffRoad!H48</f>
        <v>1294532507.1710877</v>
      </c>
      <c r="J48" s="35">
        <f t="shared" si="0"/>
        <v>159326248109.3345</v>
      </c>
    </row>
    <row r="49" spans="3:11" x14ac:dyDescent="0.3">
      <c r="C49" s="105" t="s">
        <v>54</v>
      </c>
      <c r="D49" s="35">
        <f>Transportation!H49</f>
        <v>3948011981.637557</v>
      </c>
      <c r="E49" s="35">
        <f>'Direct Use Apps. ENERGY'!I49</f>
        <v>1041991848.5388664</v>
      </c>
      <c r="F49" s="35">
        <f>'Direct Use Apps Household'!G49</f>
        <v>2012245581.7974432</v>
      </c>
      <c r="G49" s="35">
        <f>'Commercial buildings Direct Use'!D49</f>
        <v>17338694673.827248</v>
      </c>
      <c r="H49" s="35">
        <f>'on road vehicles'!Q49</f>
        <v>10436944000</v>
      </c>
      <c r="I49" s="35">
        <f>OffRoad!H49</f>
        <v>287673890.48246396</v>
      </c>
      <c r="J49" s="35">
        <f t="shared" si="0"/>
        <v>35065561976.283585</v>
      </c>
    </row>
    <row r="50" spans="3:11" x14ac:dyDescent="0.3">
      <c r="C50" s="105" t="s">
        <v>55</v>
      </c>
      <c r="D50" s="35">
        <f>Transportation!H50</f>
        <v>42860122969.393883</v>
      </c>
      <c r="E50" s="35">
        <f>'Direct Use Apps. ENERGY'!I50</f>
        <v>50867544060.179756</v>
      </c>
      <c r="F50" s="35">
        <f>'Direct Use Apps Household'!G50</f>
        <v>13153377556.190989</v>
      </c>
      <c r="G50" s="35">
        <f>'Commercial buildings Direct Use'!D50</f>
        <v>234042873027.95419</v>
      </c>
      <c r="H50" s="35">
        <f>'on road vehicles'!Q50</f>
        <v>119391240000</v>
      </c>
      <c r="I50" s="35">
        <f>OffRoad!H50</f>
        <v>3739760576.2720313</v>
      </c>
      <c r="J50" s="35">
        <f t="shared" si="0"/>
        <v>464054918189.99084</v>
      </c>
    </row>
    <row r="51" spans="3:11" x14ac:dyDescent="0.3">
      <c r="C51" s="105" t="s">
        <v>56</v>
      </c>
      <c r="D51" s="35">
        <f>Transportation!H51</f>
        <v>36829411949.485703</v>
      </c>
      <c r="E51" s="35">
        <f>'Direct Use Apps. ENERGY'!I51</f>
        <v>28115263374.766472</v>
      </c>
      <c r="F51" s="35">
        <f>'Direct Use Apps Household'!G51</f>
        <v>19644022207.303909</v>
      </c>
      <c r="G51" s="35">
        <f>'Commercial buildings Direct Use'!D51</f>
        <v>177390630774.70795</v>
      </c>
      <c r="H51" s="35">
        <f>'on road vehicles'!Q51</f>
        <v>117163510000</v>
      </c>
      <c r="I51" s="35">
        <f>OffRoad!H51</f>
        <v>4027434466.7544942</v>
      </c>
      <c r="J51" s="35">
        <f t="shared" si="0"/>
        <v>383170272773.01855</v>
      </c>
    </row>
    <row r="52" spans="3:11" ht="27" x14ac:dyDescent="0.3">
      <c r="C52" s="105" t="s">
        <v>57</v>
      </c>
      <c r="D52" s="35">
        <f>Transportation!H52</f>
        <v>9623892795.0255489</v>
      </c>
      <c r="E52" s="35">
        <f>'Direct Use Apps. ENERGY'!I52</f>
        <v>16437268561.938259</v>
      </c>
      <c r="F52" s="35">
        <f>'Direct Use Apps Household'!G52</f>
        <v>2788643874.3686209</v>
      </c>
      <c r="G52" s="35">
        <f>'Commercial buildings Direct Use'!D52</f>
        <v>49619363651.72187</v>
      </c>
      <c r="H52" s="35">
        <f>'on road vehicles'!Q52</f>
        <v>30244828000</v>
      </c>
      <c r="I52" s="35">
        <f>OffRoad!H52</f>
        <v>575347780.96492791</v>
      </c>
      <c r="J52" s="35">
        <f t="shared" si="0"/>
        <v>109289344664.01923</v>
      </c>
    </row>
    <row r="53" spans="3:11" x14ac:dyDescent="0.3">
      <c r="C53" s="105" t="s">
        <v>58</v>
      </c>
      <c r="D53" s="35">
        <f>Transportation!H53</f>
        <v>32235319143.854889</v>
      </c>
      <c r="E53" s="35">
        <f>'Direct Use Apps. ENERGY'!I53</f>
        <v>42322424822.811783</v>
      </c>
      <c r="F53" s="35">
        <f>'Direct Use Apps Household'!G53</f>
        <v>17364703501.129925</v>
      </c>
      <c r="G53" s="35">
        <f>'Commercial buildings Direct Use'!D53</f>
        <v>161014368807.60095</v>
      </c>
      <c r="H53" s="35">
        <f>'on road vehicles'!Q53</f>
        <v>91727310000</v>
      </c>
      <c r="I53" s="35">
        <f>OffRoad!H53</f>
        <v>2301391123.8597116</v>
      </c>
      <c r="J53" s="35">
        <f t="shared" si="0"/>
        <v>346965517399.25732</v>
      </c>
    </row>
    <row r="54" spans="3:11" x14ac:dyDescent="0.3">
      <c r="C54" s="105" t="s">
        <v>59</v>
      </c>
      <c r="D54" s="35">
        <f>Transportation!H54</f>
        <v>4817088864.2739372</v>
      </c>
      <c r="E54" s="35">
        <f>'Direct Use Apps. ENERGY'!I54</f>
        <v>11037252801.019234</v>
      </c>
      <c r="F54" s="35">
        <f>'Direct Use Apps Household'!G54</f>
        <v>1506063486.9887631</v>
      </c>
      <c r="G54" s="35">
        <f>'Commercial buildings Direct Use'!D54</f>
        <v>13600145078.45336</v>
      </c>
      <c r="H54" s="35">
        <f>'on road vehicles'!Q54</f>
        <v>16512554000</v>
      </c>
      <c r="I54" s="35">
        <f>OffRoad!H54</f>
        <v>287673890.48246396</v>
      </c>
      <c r="J54" s="35">
        <f t="shared" si="0"/>
        <v>47760778121.217758</v>
      </c>
    </row>
    <row r="55" spans="3:11" s="107" customFormat="1" x14ac:dyDescent="0.3">
      <c r="C55" s="106" t="s">
        <v>243</v>
      </c>
      <c r="D55" s="127">
        <f>Transportation!H55</f>
        <v>1751253498101.3503</v>
      </c>
      <c r="E55" s="127">
        <f>'Direct Use Apps. ENERGY'!I55</f>
        <v>2367869354038.5259</v>
      </c>
      <c r="F55" s="127">
        <f>'Direct Use Apps Household'!G4</f>
        <v>787742744857.75</v>
      </c>
      <c r="G55" s="127">
        <f>'Commercial buildings Direct Use'!D55</f>
        <v>8690871884541.4258</v>
      </c>
      <c r="H55" s="127">
        <f>'on road vehicles'!Q55</f>
        <v>4460660664000</v>
      </c>
      <c r="I55" s="127">
        <f>OffRoad!H55</f>
        <v>142398575788.81964</v>
      </c>
      <c r="J55" s="127">
        <f>SUM(J5:J54)</f>
        <v>18184259933245.027</v>
      </c>
    </row>
    <row r="56" spans="3:11" x14ac:dyDescent="0.3">
      <c r="J56" s="35">
        <f>SUM(D55:I55)</f>
        <v>18200796721327.871</v>
      </c>
      <c r="K56" s="9"/>
    </row>
  </sheetData>
  <mergeCells count="1">
    <mergeCell ref="D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3AA3C-1ED2-4666-AF1A-BB76DB904F03}">
  <dimension ref="C3:J55"/>
  <sheetViews>
    <sheetView topLeftCell="A2" workbookViewId="0">
      <selection activeCell="F65" sqref="F65"/>
    </sheetView>
  </sheetViews>
  <sheetFormatPr defaultRowHeight="14.4" x14ac:dyDescent="0.3"/>
  <cols>
    <col min="3" max="3" width="16.77734375" customWidth="1"/>
    <col min="4" max="4" width="19.21875" customWidth="1"/>
    <col min="5" max="5" width="19" customWidth="1"/>
    <col min="6" max="6" width="15.109375" customWidth="1"/>
    <col min="7" max="7" width="17.21875" customWidth="1"/>
    <col min="8" max="8" width="16.44140625" customWidth="1"/>
    <col min="9" max="9" width="20.109375" bestFit="1" customWidth="1"/>
    <col min="10" max="10" width="19.21875" customWidth="1"/>
    <col min="11" max="11" width="20.77734375" bestFit="1" customWidth="1"/>
    <col min="12" max="12" width="26.109375" bestFit="1" customWidth="1"/>
    <col min="13" max="13" width="17.88671875" bestFit="1" customWidth="1"/>
    <col min="14" max="14" width="15" bestFit="1" customWidth="1"/>
    <col min="15" max="15" width="12.88671875" bestFit="1" customWidth="1"/>
  </cols>
  <sheetData>
    <row r="3" spans="3:10" x14ac:dyDescent="0.3">
      <c r="D3" s="174" t="s">
        <v>353</v>
      </c>
      <c r="E3" s="175"/>
    </row>
    <row r="4" spans="3:10" ht="28.8" x14ac:dyDescent="0.3">
      <c r="C4" s="11" t="s">
        <v>345</v>
      </c>
      <c r="D4" s="11" t="s">
        <v>5</v>
      </c>
      <c r="E4" s="11" t="s">
        <v>347</v>
      </c>
      <c r="F4" s="11" t="s">
        <v>348</v>
      </c>
      <c r="G4" s="11" t="s">
        <v>349</v>
      </c>
      <c r="H4" s="11" t="s">
        <v>350</v>
      </c>
      <c r="I4" s="11" t="s">
        <v>452</v>
      </c>
      <c r="J4" s="11" t="s">
        <v>309</v>
      </c>
    </row>
    <row r="5" spans="3:10" x14ac:dyDescent="0.3">
      <c r="C5" s="105" t="s">
        <v>9</v>
      </c>
      <c r="D5" s="35">
        <f>ROUND('Master Summary Dispatchable'!D5,-9)</f>
        <v>32000000000</v>
      </c>
      <c r="E5" s="35">
        <f>ROUND('Master Summary Dispatchable'!E5,-9)</f>
        <v>58000000000</v>
      </c>
      <c r="F5" s="35">
        <f>ROUND('Master Summary Dispatchable'!F5,-9)</f>
        <v>8000000000</v>
      </c>
      <c r="G5" s="35">
        <f>ROUND('Master Summary Dispatchable'!G5,-9)</f>
        <v>134000000000</v>
      </c>
      <c r="H5" s="35">
        <f>ROUND('Master Summary Dispatchable'!H5,-9)</f>
        <v>92000000000</v>
      </c>
      <c r="I5" s="35">
        <f>ROUND('Master Summary Dispatchable'!I5,-9)</f>
        <v>2000000000</v>
      </c>
      <c r="J5" s="35">
        <f>ROUND('Master Summary Dispatchable'!J5,-9)</f>
        <v>327000000000</v>
      </c>
    </row>
    <row r="6" spans="3:10" x14ac:dyDescent="0.3">
      <c r="C6" s="105" t="s">
        <v>10</v>
      </c>
      <c r="D6" s="35">
        <f>ROUND('Master Summary Dispatchable'!D6,-9)</f>
        <v>3000000000</v>
      </c>
      <c r="E6" s="35">
        <f>ROUND('Master Summary Dispatchable'!E6,-9)</f>
        <v>30000000000</v>
      </c>
      <c r="F6" s="35">
        <f>ROUND('Master Summary Dispatchable'!F6,-9)</f>
        <v>2000000000</v>
      </c>
      <c r="G6" s="35">
        <f>ROUND('Master Summary Dispatchable'!G6,-9)</f>
        <v>17000000000</v>
      </c>
      <c r="H6" s="35">
        <f>ROUND('Master Summary Dispatchable'!H6,-9)</f>
        <v>16000000000</v>
      </c>
      <c r="I6" s="35">
        <f>ROUND('Master Summary Dispatchable'!I6,-9)</f>
        <v>0</v>
      </c>
      <c r="J6" s="35">
        <f>ROUND('Master Summary Dispatchable'!J6,-9)</f>
        <v>69000000000</v>
      </c>
    </row>
    <row r="7" spans="3:10" x14ac:dyDescent="0.3">
      <c r="C7" s="105" t="s">
        <v>11</v>
      </c>
      <c r="D7" s="35">
        <f>ROUND('Master Summary Dispatchable'!D7,-9)</f>
        <v>38000000000</v>
      </c>
      <c r="E7" s="35">
        <f>ROUND('Master Summary Dispatchable'!E7,-9)</f>
        <v>28000000000</v>
      </c>
      <c r="F7" s="35">
        <f>ROUND('Master Summary Dispatchable'!F7,-9)</f>
        <v>19000000000</v>
      </c>
      <c r="G7" s="35">
        <f>ROUND('Master Summary Dispatchable'!G7,-9)</f>
        <v>169000000000</v>
      </c>
      <c r="H7" s="35">
        <f>ROUND('Master Summary Dispatchable'!H7,-9)</f>
        <v>97000000000</v>
      </c>
      <c r="I7" s="35">
        <f>ROUND('Master Summary Dispatchable'!I7,-9)</f>
        <v>2000000000</v>
      </c>
      <c r="J7" s="35">
        <f>ROUND('Master Summary Dispatchable'!J7,-9)</f>
        <v>354000000000</v>
      </c>
    </row>
    <row r="8" spans="3:10" x14ac:dyDescent="0.3">
      <c r="C8" s="105" t="s">
        <v>12</v>
      </c>
      <c r="D8" s="35">
        <f>ROUND('Master Summary Dispatchable'!D8,-9)</f>
        <v>18000000000</v>
      </c>
      <c r="E8" s="35">
        <f>ROUND('Master Summary Dispatchable'!E8,-9)</f>
        <v>28000000000</v>
      </c>
      <c r="F8" s="35">
        <f>ROUND('Master Summary Dispatchable'!F8,-9)</f>
        <v>5000000000</v>
      </c>
      <c r="G8" s="35">
        <f>ROUND('Master Summary Dispatchable'!G8,-9)</f>
        <v>83000000000</v>
      </c>
      <c r="H8" s="35">
        <f>ROUND('Master Summary Dispatchable'!H8,-9)</f>
        <v>50000000000</v>
      </c>
      <c r="I8" s="35">
        <f>ROUND('Master Summary Dispatchable'!I8,-9)</f>
        <v>1000000000</v>
      </c>
      <c r="J8" s="35">
        <f>ROUND('Master Summary Dispatchable'!J8,-9)</f>
        <v>185000000000</v>
      </c>
    </row>
    <row r="9" spans="3:10" x14ac:dyDescent="0.3">
      <c r="C9" s="105" t="s">
        <v>13</v>
      </c>
      <c r="D9" s="35">
        <f>ROUND('Master Summary Dispatchable'!D9,-9)</f>
        <v>184000000000</v>
      </c>
      <c r="E9" s="35">
        <f>ROUND('Master Summary Dispatchable'!E9,-9)</f>
        <v>184000000000</v>
      </c>
      <c r="F9" s="35">
        <f>ROUND('Master Summary Dispatchable'!F9,-9)</f>
        <v>103000000000</v>
      </c>
      <c r="G9" s="35">
        <f>ROUND('Master Summary Dispatchable'!G9,-9)</f>
        <v>931000000000</v>
      </c>
      <c r="H9" s="35">
        <f>ROUND('Master Summary Dispatchable'!H9,-9)</f>
        <v>471000000000</v>
      </c>
      <c r="I9" s="35">
        <f>ROUND('Master Summary Dispatchable'!I9,-9)</f>
        <v>21000000000</v>
      </c>
      <c r="J9" s="35">
        <f>ROUND('Master Summary Dispatchable'!J9,-9)</f>
        <v>1895000000000</v>
      </c>
    </row>
    <row r="10" spans="3:10" x14ac:dyDescent="0.3">
      <c r="C10" s="105" t="s">
        <v>14</v>
      </c>
      <c r="D10" s="35">
        <f>ROUND('Master Summary Dispatchable'!D10,-9)</f>
        <v>31000000000</v>
      </c>
      <c r="E10" s="35">
        <f>ROUND('Master Summary Dispatchable'!E10,-9)</f>
        <v>38000000000</v>
      </c>
      <c r="F10" s="35">
        <f>ROUND('Master Summary Dispatchable'!F10,-9)</f>
        <v>15000000000</v>
      </c>
      <c r="G10" s="35">
        <f>ROUND('Master Summary Dispatchable'!G10,-9)</f>
        <v>134000000000</v>
      </c>
      <c r="H10" s="35">
        <f>ROUND('Master Summary Dispatchable'!H10,-9)</f>
        <v>90000000000</v>
      </c>
      <c r="I10" s="35">
        <f>ROUND('Master Summary Dispatchable'!I10,-9)</f>
        <v>3000000000</v>
      </c>
      <c r="J10" s="35">
        <f>ROUND('Master Summary Dispatchable'!J10,-9)</f>
        <v>310000000000</v>
      </c>
    </row>
    <row r="11" spans="3:10" x14ac:dyDescent="0.3">
      <c r="C11" s="105" t="s">
        <v>15</v>
      </c>
      <c r="D11" s="35">
        <f>ROUND('Master Summary Dispatchable'!D11,-9)</f>
        <v>20000000000</v>
      </c>
      <c r="E11" s="35">
        <f>ROUND('Master Summary Dispatchable'!E11,-9)</f>
        <v>21000000000</v>
      </c>
      <c r="F11" s="35">
        <f>ROUND('Master Summary Dispatchable'!F11,-9)</f>
        <v>11000000000</v>
      </c>
      <c r="G11" s="35">
        <f>ROUND('Master Summary Dispatchable'!G11,-9)</f>
        <v>99000000000</v>
      </c>
      <c r="H11" s="35">
        <f>ROUND('Master Summary Dispatchable'!H11,-9)</f>
        <v>45000000000</v>
      </c>
      <c r="I11" s="35">
        <f>ROUND('Master Summary Dispatchable'!I11,-9)</f>
        <v>2000000000</v>
      </c>
      <c r="J11" s="35">
        <f>ROUND('Master Summary Dispatchable'!J11,-9)</f>
        <v>198000000000</v>
      </c>
    </row>
    <row r="12" spans="3:10" x14ac:dyDescent="0.3">
      <c r="C12" s="105" t="s">
        <v>16</v>
      </c>
      <c r="D12" s="35">
        <f>ROUND('Master Summary Dispatchable'!D12,-9)</f>
        <v>6000000000</v>
      </c>
      <c r="E12" s="35">
        <f>ROUND('Master Summary Dispatchable'!E12,-9)</f>
        <v>9000000000</v>
      </c>
      <c r="F12" s="35">
        <f>ROUND('Master Summary Dispatchable'!F12,-9)</f>
        <v>3000000000</v>
      </c>
      <c r="G12" s="35">
        <f>ROUND('Master Summary Dispatchable'!G12,-9)</f>
        <v>27000000000</v>
      </c>
      <c r="H12" s="35">
        <f>ROUND('Master Summary Dispatchable'!H12,-9)</f>
        <v>16000000000</v>
      </c>
      <c r="I12" s="35">
        <f>ROUND('Master Summary Dispatchable'!I12,-9)</f>
        <v>1000000000</v>
      </c>
      <c r="J12" s="35">
        <f>ROUND('Master Summary Dispatchable'!J12,-9)</f>
        <v>62000000000</v>
      </c>
    </row>
    <row r="13" spans="3:10" x14ac:dyDescent="0.3">
      <c r="C13" s="105" t="s">
        <v>17</v>
      </c>
      <c r="D13" s="35">
        <f>ROUND('Master Summary Dispatchable'!D13,-9)</f>
        <v>94000000000</v>
      </c>
      <c r="E13" s="35">
        <f>ROUND('Master Summary Dispatchable'!E13,-9)</f>
        <v>122000000000</v>
      </c>
      <c r="F13" s="35">
        <f>ROUND('Master Summary Dispatchable'!F13,-9)</f>
        <v>33000000000</v>
      </c>
      <c r="G13" s="35">
        <f>ROUND('Master Summary Dispatchable'!G13,-9)</f>
        <v>585000000000</v>
      </c>
      <c r="H13" s="35">
        <f>ROUND('Master Summary Dispatchable'!H13,-9)</f>
        <v>260000000000</v>
      </c>
      <c r="I13" s="35">
        <f>ROUND('Master Summary Dispatchable'!I13,-9)</f>
        <v>7000000000</v>
      </c>
      <c r="J13" s="35">
        <f>ROUND('Master Summary Dispatchable'!J13,-9)</f>
        <v>1102000000000</v>
      </c>
    </row>
    <row r="14" spans="3:10" x14ac:dyDescent="0.3">
      <c r="C14" s="105" t="s">
        <v>18</v>
      </c>
      <c r="D14" s="35">
        <f>ROUND('Master Summary Dispatchable'!D14,-9)</f>
        <v>64000000000</v>
      </c>
      <c r="E14" s="35">
        <f>ROUND('Master Summary Dispatchable'!E14,-9)</f>
        <v>61000000000</v>
      </c>
      <c r="F14" s="35">
        <f>ROUND('Master Summary Dispatchable'!F14,-9)</f>
        <v>16000000000</v>
      </c>
      <c r="G14" s="35">
        <f>ROUND('Master Summary Dispatchable'!G14,-9)</f>
        <v>289000000000</v>
      </c>
      <c r="H14" s="35">
        <f>ROUND('Master Summary Dispatchable'!H14,-9)</f>
        <v>137000000000</v>
      </c>
      <c r="I14" s="35">
        <f>ROUND('Master Summary Dispatchable'!I14,-9)</f>
        <v>4000000000</v>
      </c>
      <c r="J14" s="35">
        <f>ROUND('Master Summary Dispatchable'!J14,-9)</f>
        <v>571000000000</v>
      </c>
    </row>
    <row r="15" spans="3:10" x14ac:dyDescent="0.3">
      <c r="C15" s="105" t="s">
        <v>19</v>
      </c>
      <c r="D15" s="35">
        <f>ROUND('Master Summary Dispatchable'!D15,-9)</f>
        <v>6000000000</v>
      </c>
      <c r="E15" s="35">
        <f>ROUND('Master Summary Dispatchable'!E15,-9)</f>
        <v>0</v>
      </c>
      <c r="F15" s="35">
        <f>ROUND('Master Summary Dispatchable'!F15,-9)</f>
        <v>4000000000</v>
      </c>
      <c r="G15" s="35">
        <f>ROUND('Master Summary Dispatchable'!G15,-9)</f>
        <v>33000000000</v>
      </c>
      <c r="H15" s="35">
        <f>ROUND('Master Summary Dispatchable'!H15,-9)</f>
        <v>21000000000</v>
      </c>
      <c r="I15" s="35">
        <f>ROUND('Master Summary Dispatchable'!I15,-9)</f>
        <v>1000000000</v>
      </c>
      <c r="J15" s="35">
        <f>ROUND('Master Summary Dispatchable'!J15,-9)</f>
        <v>65000000000</v>
      </c>
    </row>
    <row r="16" spans="3:10" x14ac:dyDescent="0.3">
      <c r="C16" s="105" t="s">
        <v>20</v>
      </c>
      <c r="D16" s="35">
        <f>ROUND('Master Summary Dispatchable'!D16,-9)</f>
        <v>10000000000</v>
      </c>
      <c r="E16" s="35">
        <f>ROUND('Master Summary Dispatchable'!E16,-9)</f>
        <v>10000000000</v>
      </c>
      <c r="F16" s="35">
        <f>ROUND('Master Summary Dispatchable'!F16,-9)</f>
        <v>5000000000</v>
      </c>
      <c r="G16" s="35">
        <f>ROUND('Master Summary Dispatchable'!G16,-9)</f>
        <v>41000000000</v>
      </c>
      <c r="H16" s="35">
        <f>ROUND('Master Summary Dispatchable'!H16,-9)</f>
        <v>33000000000</v>
      </c>
      <c r="I16" s="35">
        <f>ROUND('Master Summary Dispatchable'!I16,-9)</f>
        <v>1000000000</v>
      </c>
      <c r="J16" s="35">
        <f>ROUND('Master Summary Dispatchable'!J16,-9)</f>
        <v>99000000000</v>
      </c>
    </row>
    <row r="17" spans="3:10" x14ac:dyDescent="0.3">
      <c r="C17" s="105" t="s">
        <v>21</v>
      </c>
      <c r="D17" s="35">
        <f>ROUND('Master Summary Dispatchable'!D17,-9)</f>
        <v>60000000000</v>
      </c>
      <c r="E17" s="35">
        <f>ROUND('Master Summary Dispatchable'!E17,-9)</f>
        <v>87000000000</v>
      </c>
      <c r="F17" s="35">
        <f>ROUND('Master Summary Dispatchable'!F17,-9)</f>
        <v>38000000000</v>
      </c>
      <c r="G17" s="35">
        <f>ROUND('Master Summary Dispatchable'!G17,-9)</f>
        <v>353000000000</v>
      </c>
      <c r="H17" s="35">
        <f>ROUND('Master Summary Dispatchable'!H17,-9)</f>
        <v>168000000000</v>
      </c>
      <c r="I17" s="35">
        <f>ROUND('Master Summary Dispatchable'!I17,-9)</f>
        <v>6000000000</v>
      </c>
      <c r="J17" s="35">
        <f>ROUND('Master Summary Dispatchable'!J17,-9)</f>
        <v>712000000000</v>
      </c>
    </row>
    <row r="18" spans="3:10" x14ac:dyDescent="0.3">
      <c r="C18" s="105" t="s">
        <v>22</v>
      </c>
      <c r="D18" s="35">
        <f>ROUND('Master Summary Dispatchable'!D18,-9)</f>
        <v>39000000000</v>
      </c>
      <c r="E18" s="35">
        <f>ROUND('Master Summary Dispatchable'!E18,-9)</f>
        <v>65000000000</v>
      </c>
      <c r="F18" s="35">
        <f>ROUND('Master Summary Dispatchable'!F18,-9)</f>
        <v>20000000000</v>
      </c>
      <c r="G18" s="35">
        <f>ROUND('Master Summary Dispatchable'!G18,-9)</f>
        <v>185000000000</v>
      </c>
      <c r="H18" s="35">
        <f>ROUND('Master Summary Dispatchable'!H18,-9)</f>
        <v>105000000000</v>
      </c>
      <c r="I18" s="35">
        <f>ROUND('Master Summary Dispatchable'!I18,-9)</f>
        <v>3000000000</v>
      </c>
      <c r="J18" s="35">
        <f>ROUND('Master Summary Dispatchable'!J18,-9)</f>
        <v>417000000000</v>
      </c>
    </row>
    <row r="19" spans="3:10" x14ac:dyDescent="0.3">
      <c r="C19" s="105" t="s">
        <v>23</v>
      </c>
      <c r="D19" s="35">
        <f>ROUND('Master Summary Dispatchable'!D19,-9)</f>
        <v>15000000000</v>
      </c>
      <c r="E19" s="35">
        <f>ROUND('Master Summary Dispatchable'!E19,-9)</f>
        <v>34000000000</v>
      </c>
      <c r="F19" s="35">
        <f>ROUND('Master Summary Dispatchable'!F19,-9)</f>
        <v>9000000000</v>
      </c>
      <c r="G19" s="35">
        <f>ROUND('Master Summary Dispatchable'!G19,-9)</f>
        <v>87000000000</v>
      </c>
      <c r="H19" s="35">
        <f>ROUND('Master Summary Dispatchable'!H19,-9)</f>
        <v>63000000000</v>
      </c>
      <c r="I19" s="35">
        <f>ROUND('Master Summary Dispatchable'!I19,-9)</f>
        <v>1000000000</v>
      </c>
      <c r="J19" s="35">
        <f>ROUND('Master Summary Dispatchable'!J19,-9)</f>
        <v>210000000000</v>
      </c>
    </row>
    <row r="20" spans="3:10" x14ac:dyDescent="0.3">
      <c r="C20" s="105" t="s">
        <v>24</v>
      </c>
      <c r="D20" s="35">
        <f>ROUND('Master Summary Dispatchable'!D20,-9)</f>
        <v>21000000000</v>
      </c>
      <c r="E20" s="35">
        <f>ROUND('Master Summary Dispatchable'!E20,-9)</f>
        <v>24000000000</v>
      </c>
      <c r="F20" s="35">
        <f>ROUND('Master Summary Dispatchable'!F20,-9)</f>
        <v>9000000000</v>
      </c>
      <c r="G20" s="35">
        <f>ROUND('Master Summary Dispatchable'!G20,-9)</f>
        <v>81000000000</v>
      </c>
      <c r="H20" s="35">
        <f>ROUND('Master Summary Dispatchable'!H20,-9)</f>
        <v>46000000000</v>
      </c>
      <c r="I20" s="35">
        <f>ROUND('Master Summary Dispatchable'!I20,-9)</f>
        <v>1000000000</v>
      </c>
      <c r="J20" s="35">
        <f>ROUND('Master Summary Dispatchable'!J20,-9)</f>
        <v>181000000000</v>
      </c>
    </row>
    <row r="21" spans="3:10" x14ac:dyDescent="0.3">
      <c r="C21" s="105" t="s">
        <v>25</v>
      </c>
      <c r="D21" s="35">
        <f>ROUND('Master Summary Dispatchable'!D21,-9)</f>
        <v>26000000000</v>
      </c>
      <c r="E21" s="35">
        <f>ROUND('Master Summary Dispatchable'!E21,-9)</f>
        <v>25000000000</v>
      </c>
      <c r="F21" s="35">
        <f>ROUND('Master Summary Dispatchable'!F21,-9)</f>
        <v>7000000000</v>
      </c>
      <c r="G21" s="35">
        <f>ROUND('Master Summary Dispatchable'!G21,-9)</f>
        <v>123000000000</v>
      </c>
      <c r="H21" s="35">
        <f>ROUND('Master Summary Dispatchable'!H21,-9)</f>
        <v>72000000000</v>
      </c>
      <c r="I21" s="35">
        <f>ROUND('Master Summary Dispatchable'!I21,-9)</f>
        <v>1000000000</v>
      </c>
      <c r="J21" s="35">
        <f>ROUND('Master Summary Dispatchable'!J21,-9)</f>
        <v>254000000000</v>
      </c>
    </row>
    <row r="22" spans="3:10" x14ac:dyDescent="0.3">
      <c r="C22" s="105" t="s">
        <v>26</v>
      </c>
      <c r="D22" s="35">
        <f>ROUND('Master Summary Dispatchable'!D22,-9)</f>
        <v>36000000000</v>
      </c>
      <c r="E22" s="35">
        <f>ROUND('Master Summary Dispatchable'!E22,-9)</f>
        <v>139000000000</v>
      </c>
      <c r="F22" s="35">
        <f>ROUND('Master Summary Dispatchable'!F22,-9)</f>
        <v>7000000000</v>
      </c>
      <c r="G22" s="35">
        <f>ROUND('Master Summary Dispatchable'!G22,-9)</f>
        <v>128000000000</v>
      </c>
      <c r="H22" s="35">
        <f>ROUND('Master Summary Dispatchable'!H22,-9)</f>
        <v>69000000000</v>
      </c>
      <c r="I22" s="35">
        <f>ROUND('Master Summary Dispatchable'!I22,-9)</f>
        <v>2000000000</v>
      </c>
      <c r="J22" s="35">
        <f>ROUND('Master Summary Dispatchable'!J22,-9)</f>
        <v>380000000000</v>
      </c>
    </row>
    <row r="23" spans="3:10" x14ac:dyDescent="0.3">
      <c r="C23" s="105" t="s">
        <v>27</v>
      </c>
      <c r="D23" s="35">
        <f>ROUND('Master Summary Dispatchable'!D23,-9)</f>
        <v>9000000000</v>
      </c>
      <c r="E23" s="35">
        <f>ROUND('Master Summary Dispatchable'!E23,-9)</f>
        <v>4000000000</v>
      </c>
      <c r="F23" s="35">
        <f>ROUND('Master Summary Dispatchable'!F23,-9)</f>
        <v>4000000000</v>
      </c>
      <c r="G23" s="35">
        <f>ROUND('Master Summary Dispatchable'!G23,-9)</f>
        <v>37000000000</v>
      </c>
      <c r="H23" s="35">
        <f>ROUND('Master Summary Dispatchable'!H23,-9)</f>
        <v>19000000000</v>
      </c>
      <c r="I23" s="35">
        <f>ROUND('Master Summary Dispatchable'!I23,-9)</f>
        <v>0</v>
      </c>
      <c r="J23" s="35">
        <f>ROUND('Master Summary Dispatchable'!J23,-9)</f>
        <v>74000000000</v>
      </c>
    </row>
    <row r="24" spans="3:10" x14ac:dyDescent="0.3">
      <c r="C24" s="105" t="s">
        <v>28</v>
      </c>
      <c r="D24" s="35">
        <f>ROUND('Master Summary Dispatchable'!D24,-9)</f>
        <v>25000000000</v>
      </c>
      <c r="E24" s="35">
        <f>ROUND('Master Summary Dispatchable'!E24,-9)</f>
        <v>19000000000</v>
      </c>
      <c r="F24" s="35">
        <f>ROUND('Master Summary Dispatchable'!F24,-9)</f>
        <v>19000000000</v>
      </c>
      <c r="G24" s="35">
        <f>ROUND('Master Summary Dispatchable'!G24,-9)</f>
        <v>167000000000</v>
      </c>
      <c r="H24" s="35">
        <f>ROUND('Master Summary Dispatchable'!H24,-9)</f>
        <v>66000000000</v>
      </c>
      <c r="I24" s="35">
        <f>ROUND('Master Summary Dispatchable'!I24,-9)</f>
        <v>3000000000</v>
      </c>
      <c r="J24" s="35">
        <f>ROUND('Master Summary Dispatchable'!J24,-9)</f>
        <v>300000000000</v>
      </c>
    </row>
    <row r="25" spans="3:10" x14ac:dyDescent="0.3">
      <c r="C25" s="105" t="s">
        <v>29</v>
      </c>
      <c r="D25" s="35">
        <f>ROUND('Master Summary Dispatchable'!D25,-9)</f>
        <v>30000000000</v>
      </c>
      <c r="E25" s="35">
        <f>ROUND('Master Summary Dispatchable'!E25,-9)</f>
        <v>39000000000</v>
      </c>
      <c r="F25" s="35">
        <f>ROUND('Master Summary Dispatchable'!F25,-9)</f>
        <v>22000000000</v>
      </c>
      <c r="G25" s="35">
        <f>ROUND('Master Summary Dispatchable'!G25,-9)</f>
        <v>191000000000</v>
      </c>
      <c r="H25" s="35">
        <f>ROUND('Master Summary Dispatchable'!H25,-9)</f>
        <v>81000000000</v>
      </c>
      <c r="I25" s="35">
        <f>ROUND('Master Summary Dispatchable'!I25,-9)</f>
        <v>4000000000</v>
      </c>
      <c r="J25" s="35">
        <f>ROUND('Master Summary Dispatchable'!J25,-9)</f>
        <v>368000000000</v>
      </c>
    </row>
    <row r="26" spans="3:10" x14ac:dyDescent="0.3">
      <c r="C26" s="105" t="s">
        <v>30</v>
      </c>
      <c r="D26" s="35">
        <f>ROUND('Master Summary Dispatchable'!D26,-9)</f>
        <v>60000000000</v>
      </c>
      <c r="E26" s="35">
        <f>ROUND('Master Summary Dispatchable'!E26,-9)</f>
        <v>76000000000</v>
      </c>
      <c r="F26" s="35">
        <f>ROUND('Master Summary Dispatchable'!F26,-9)</f>
        <v>30000000000</v>
      </c>
      <c r="G26" s="35">
        <f>ROUND('Master Summary Dispatchable'!G26,-9)</f>
        <v>277000000000</v>
      </c>
      <c r="H26" s="35">
        <f>ROUND('Master Summary Dispatchable'!H26,-9)</f>
        <v>142000000000</v>
      </c>
      <c r="I26" s="35">
        <f>ROUND('Master Summary Dispatchable'!I26,-9)</f>
        <v>4000000000</v>
      </c>
      <c r="J26" s="35">
        <f>ROUND('Master Summary Dispatchable'!J26,-9)</f>
        <v>589000000000</v>
      </c>
    </row>
    <row r="27" spans="3:10" x14ac:dyDescent="0.3">
      <c r="C27" s="105" t="s">
        <v>31</v>
      </c>
      <c r="D27" s="35">
        <f>ROUND('Master Summary Dispatchable'!D27,-9)</f>
        <v>29000000000</v>
      </c>
      <c r="E27" s="35">
        <f>ROUND('Master Summary Dispatchable'!E27,-9)</f>
        <v>40000000000</v>
      </c>
      <c r="F27" s="35">
        <f>ROUND('Master Summary Dispatchable'!F27,-9)</f>
        <v>17000000000</v>
      </c>
      <c r="G27" s="35">
        <f>ROUND('Master Summary Dispatchable'!G27,-9)</f>
        <v>155000000000</v>
      </c>
      <c r="H27" s="35">
        <f>ROUND('Master Summary Dispatchable'!H27,-9)</f>
        <v>90000000000</v>
      </c>
      <c r="I27" s="35">
        <f>ROUND('Master Summary Dispatchable'!I27,-9)</f>
        <v>3000000000</v>
      </c>
      <c r="J27" s="35">
        <f>ROUND('Master Summary Dispatchable'!J27,-9)</f>
        <v>335000000000</v>
      </c>
    </row>
    <row r="28" spans="3:10" x14ac:dyDescent="0.3">
      <c r="C28" s="105" t="s">
        <v>32</v>
      </c>
      <c r="D28" s="35">
        <f>ROUND('Master Summary Dispatchable'!D28,-9)</f>
        <v>22000000000</v>
      </c>
      <c r="E28" s="35">
        <f>ROUND('Master Summary Dispatchable'!E28,-9)</f>
        <v>47000000000</v>
      </c>
      <c r="F28" s="35">
        <f>ROUND('Master Summary Dispatchable'!F28,-9)</f>
        <v>5000000000</v>
      </c>
      <c r="G28" s="35">
        <f>ROUND('Master Summary Dispatchable'!G28,-9)</f>
        <v>82000000000</v>
      </c>
      <c r="H28" s="35">
        <f>ROUND('Master Summary Dispatchable'!H28,-9)</f>
        <v>36000000000</v>
      </c>
      <c r="I28" s="35">
        <f>ROUND('Master Summary Dispatchable'!I28,-9)</f>
        <v>1000000000</v>
      </c>
      <c r="J28" s="35">
        <f>ROUND('Master Summary Dispatchable'!J28,-9)</f>
        <v>191000000000</v>
      </c>
    </row>
    <row r="29" spans="3:10" x14ac:dyDescent="0.3">
      <c r="C29" s="105" t="s">
        <v>33</v>
      </c>
      <c r="D29" s="35">
        <f>ROUND('Master Summary Dispatchable'!D29,-9)</f>
        <v>37000000000</v>
      </c>
      <c r="E29" s="35">
        <f>ROUND('Master Summary Dispatchable'!E29,-9)</f>
        <v>23000000000</v>
      </c>
      <c r="F29" s="35">
        <f>ROUND('Master Summary Dispatchable'!F29,-9)</f>
        <v>9000000000</v>
      </c>
      <c r="G29" s="35">
        <f>ROUND('Master Summary Dispatchable'!G29,-9)</f>
        <v>168000000000</v>
      </c>
      <c r="H29" s="35">
        <f>ROUND('Master Summary Dispatchable'!H29,-9)</f>
        <v>97000000000</v>
      </c>
      <c r="I29" s="35">
        <f>ROUND('Master Summary Dispatchable'!I29,-9)</f>
        <v>2000000000</v>
      </c>
      <c r="J29" s="35">
        <f>ROUND('Master Summary Dispatchable'!J29,-9)</f>
        <v>337000000000</v>
      </c>
    </row>
    <row r="30" spans="3:10" x14ac:dyDescent="0.3">
      <c r="C30" s="105" t="s">
        <v>34</v>
      </c>
      <c r="D30" s="35">
        <f>ROUND('Master Summary Dispatchable'!D30,-9)</f>
        <v>10000000000</v>
      </c>
      <c r="E30" s="35">
        <f>ROUND('Master Summary Dispatchable'!E30,-9)</f>
        <v>7000000000</v>
      </c>
      <c r="F30" s="35">
        <f>ROUND('Master Summary Dispatchable'!F30,-9)</f>
        <v>3000000000</v>
      </c>
      <c r="G30" s="35">
        <f>ROUND('Master Summary Dispatchable'!G30,-9)</f>
        <v>25000000000</v>
      </c>
      <c r="H30" s="35">
        <f>ROUND('Master Summary Dispatchable'!H30,-9)</f>
        <v>30000000000</v>
      </c>
      <c r="I30" s="35">
        <f>ROUND('Master Summary Dispatchable'!I30,-9)</f>
        <v>0</v>
      </c>
      <c r="J30" s="35">
        <f>ROUND('Master Summary Dispatchable'!J30,-9)</f>
        <v>74000000000</v>
      </c>
    </row>
    <row r="31" spans="3:10" x14ac:dyDescent="0.3">
      <c r="C31" s="105" t="s">
        <v>35</v>
      </c>
      <c r="D31" s="35">
        <f>ROUND('Master Summary Dispatchable'!D31,-9)</f>
        <v>11000000000</v>
      </c>
      <c r="E31" s="35">
        <f>ROUND('Master Summary Dispatchable'!E31,-9)</f>
        <v>14000000000</v>
      </c>
      <c r="F31" s="35">
        <f>ROUND('Master Summary Dispatchable'!F31,-9)</f>
        <v>6000000000</v>
      </c>
      <c r="G31" s="35">
        <f>ROUND('Master Summary Dispatchable'!G31,-9)</f>
        <v>53000000000</v>
      </c>
      <c r="H31" s="35">
        <f>ROUND('Master Summary Dispatchable'!H31,-9)</f>
        <v>35000000000</v>
      </c>
      <c r="I31" s="35">
        <f>ROUND('Master Summary Dispatchable'!I31,-9)</f>
        <v>1000000000</v>
      </c>
      <c r="J31" s="35">
        <f>ROUND('Master Summary Dispatchable'!J31,-9)</f>
        <v>120000000000</v>
      </c>
    </row>
    <row r="32" spans="3:10" x14ac:dyDescent="0.3">
      <c r="C32" s="105" t="s">
        <v>36</v>
      </c>
      <c r="D32" s="35">
        <f>ROUND('Master Summary Dispatchable'!D32,-9)</f>
        <v>15000000000</v>
      </c>
      <c r="E32" s="35">
        <f>ROUND('Master Summary Dispatchable'!E32,-9)</f>
        <v>26000000000</v>
      </c>
      <c r="F32" s="35">
        <f>ROUND('Master Summary Dispatchable'!F32,-9)</f>
        <v>8000000000</v>
      </c>
      <c r="G32" s="35">
        <f>ROUND('Master Summary Dispatchable'!G32,-9)</f>
        <v>71000000000</v>
      </c>
      <c r="H32" s="35">
        <f>ROUND('Master Summary Dispatchable'!H32,-9)</f>
        <v>39000000000</v>
      </c>
      <c r="I32" s="35">
        <f>ROUND('Master Summary Dispatchable'!I32,-9)</f>
        <v>1000000000</v>
      </c>
      <c r="J32" s="35">
        <f>ROUND('Master Summary Dispatchable'!J32,-9)</f>
        <v>161000000000</v>
      </c>
    </row>
    <row r="33" spans="3:10" x14ac:dyDescent="0.3">
      <c r="C33" s="105" t="s">
        <v>37</v>
      </c>
      <c r="D33" s="35">
        <f>ROUND('Master Summary Dispatchable'!D33,-9)</f>
        <v>7000000000</v>
      </c>
      <c r="E33" s="35">
        <f>ROUND('Master Summary Dispatchable'!E33,-9)</f>
        <v>5000000000</v>
      </c>
      <c r="F33" s="35">
        <f>ROUND('Master Summary Dispatchable'!F33,-9)</f>
        <v>4000000000</v>
      </c>
      <c r="G33" s="35">
        <f>ROUND('Master Summary Dispatchable'!G33,-9)</f>
        <v>38000000000</v>
      </c>
      <c r="H33" s="35">
        <f>ROUND('Master Summary Dispatchable'!H33,-9)</f>
        <v>22000000000</v>
      </c>
      <c r="I33" s="35">
        <f>ROUND('Master Summary Dispatchable'!I33,-9)</f>
        <v>1000000000</v>
      </c>
      <c r="J33" s="35">
        <f>ROUND('Master Summary Dispatchable'!J33,-9)</f>
        <v>76000000000</v>
      </c>
    </row>
    <row r="34" spans="3:10" x14ac:dyDescent="0.3">
      <c r="C34" s="105" t="s">
        <v>38</v>
      </c>
      <c r="D34" s="35">
        <f>ROUND('Master Summary Dispatchable'!D34,-9)</f>
        <v>48000000000</v>
      </c>
      <c r="E34" s="35">
        <f>ROUND('Master Summary Dispatchable'!E34,-9)</f>
        <v>62000000000</v>
      </c>
      <c r="F34" s="35">
        <f>ROUND('Master Summary Dispatchable'!F34,-9)</f>
        <v>29000000000</v>
      </c>
      <c r="G34" s="35">
        <f>ROUND('Master Summary Dispatchable'!G34,-9)</f>
        <v>247000000000</v>
      </c>
      <c r="H34" s="35">
        <f>ROUND('Master Summary Dispatchable'!H34,-9)</f>
        <v>94000000000</v>
      </c>
      <c r="I34" s="35">
        <f>ROUND('Master Summary Dispatchable'!I34,-9)</f>
        <v>4000000000</v>
      </c>
      <c r="J34" s="35">
        <f>ROUND('Master Summary Dispatchable'!J34,-9)</f>
        <v>483000000000</v>
      </c>
    </row>
    <row r="35" spans="3:10" x14ac:dyDescent="0.3">
      <c r="C35" s="105" t="s">
        <v>39</v>
      </c>
      <c r="D35" s="35">
        <f>ROUND('Master Summary Dispatchable'!D35,-9)</f>
        <v>13000000000</v>
      </c>
      <c r="E35" s="35">
        <f>ROUND('Master Summary Dispatchable'!E35,-9)</f>
        <v>21000000000</v>
      </c>
      <c r="F35" s="35">
        <f>ROUND('Master Summary Dispatchable'!F35,-9)</f>
        <v>5000000000</v>
      </c>
      <c r="G35" s="35">
        <f>ROUND('Master Summary Dispatchable'!G35,-9)</f>
        <v>49000000000</v>
      </c>
      <c r="H35" s="35">
        <f>ROUND('Master Summary Dispatchable'!H35,-9)</f>
        <v>32000000000</v>
      </c>
      <c r="I35" s="35">
        <f>ROUND('Master Summary Dispatchable'!I35,-9)</f>
        <v>1000000000</v>
      </c>
      <c r="J35" s="35">
        <f>ROUND('Master Summary Dispatchable'!J35,-9)</f>
        <v>122000000000</v>
      </c>
    </row>
    <row r="36" spans="3:10" x14ac:dyDescent="0.3">
      <c r="C36" s="105" t="s">
        <v>40</v>
      </c>
      <c r="D36" s="35">
        <f>ROUND('Master Summary Dispatchable'!D36,-9)</f>
        <v>71000000000</v>
      </c>
      <c r="E36" s="35">
        <f>ROUND('Master Summary Dispatchable'!E36,-9)</f>
        <v>110000000000</v>
      </c>
      <c r="F36" s="35">
        <f>ROUND('Master Summary Dispatchable'!F36,-9)</f>
        <v>63000000000</v>
      </c>
      <c r="G36" s="35">
        <f>ROUND('Master Summary Dispatchable'!G36,-9)</f>
        <v>541000000000</v>
      </c>
      <c r="H36" s="35">
        <f>ROUND('Master Summary Dispatchable'!H36,-9)</f>
        <v>181000000000</v>
      </c>
      <c r="I36" s="35">
        <f>ROUND('Master Summary Dispatchable'!I36,-9)</f>
        <v>12000000000</v>
      </c>
      <c r="J36" s="35">
        <f>ROUND('Master Summary Dispatchable'!J36,-9)</f>
        <v>977000000000</v>
      </c>
    </row>
    <row r="37" spans="3:10" x14ac:dyDescent="0.3">
      <c r="C37" s="105" t="s">
        <v>41</v>
      </c>
      <c r="D37" s="35">
        <f>ROUND('Master Summary Dispatchable'!D37,-9)</f>
        <v>57000000000</v>
      </c>
      <c r="E37" s="35">
        <f>ROUND('Master Summary Dispatchable'!E37,-9)</f>
        <v>44000000000</v>
      </c>
      <c r="F37" s="35">
        <f>ROUND('Master Summary Dispatchable'!F37,-9)</f>
        <v>16000000000</v>
      </c>
      <c r="G37" s="35">
        <f>ROUND('Master Summary Dispatchable'!G37,-9)</f>
        <v>285000000000</v>
      </c>
      <c r="H37" s="35">
        <f>ROUND('Master Summary Dispatchable'!H37,-9)</f>
        <v>138000000000</v>
      </c>
      <c r="I37" s="35">
        <f>ROUND('Master Summary Dispatchable'!I37,-9)</f>
        <v>4000000000</v>
      </c>
      <c r="J37" s="35">
        <f>ROUND('Master Summary Dispatchable'!J37,-9)</f>
        <v>545000000000</v>
      </c>
    </row>
    <row r="38" spans="3:10" x14ac:dyDescent="0.3">
      <c r="C38" s="105" t="s">
        <v>42</v>
      </c>
      <c r="D38" s="35">
        <f>ROUND('Master Summary Dispatchable'!D38,-9)</f>
        <v>5000000000</v>
      </c>
      <c r="E38" s="35">
        <f>ROUND('Master Summary Dispatchable'!E38,-9)</f>
        <v>10000000000</v>
      </c>
      <c r="F38" s="35">
        <f>ROUND('Master Summary Dispatchable'!F38,-9)</f>
        <v>2000000000</v>
      </c>
      <c r="G38" s="35">
        <f>ROUND('Master Summary Dispatchable'!G38,-9)</f>
        <v>21000000000</v>
      </c>
      <c r="H38" s="35">
        <f>ROUND('Master Summary Dispatchable'!H38,-9)</f>
        <v>17000000000</v>
      </c>
      <c r="I38" s="35">
        <f>ROUND('Master Summary Dispatchable'!I38,-9)</f>
        <v>0</v>
      </c>
      <c r="J38" s="35">
        <f>ROUND('Master Summary Dispatchable'!J38,-9)</f>
        <v>55000000000</v>
      </c>
    </row>
    <row r="39" spans="3:10" x14ac:dyDescent="0.3">
      <c r="C39" s="105" t="s">
        <v>43</v>
      </c>
      <c r="D39" s="35">
        <f>ROUND('Master Summary Dispatchable'!D39,-9)</f>
        <v>62000000000</v>
      </c>
      <c r="E39" s="35">
        <f>ROUND('Master Summary Dispatchable'!E39,-9)</f>
        <v>83000000000</v>
      </c>
      <c r="F39" s="35">
        <f>ROUND('Master Summary Dispatchable'!F39,-9)</f>
        <v>35000000000</v>
      </c>
      <c r="G39" s="35">
        <f>ROUND('Master Summary Dispatchable'!G39,-9)</f>
        <v>324000000000</v>
      </c>
      <c r="H39" s="35">
        <f>ROUND('Master Summary Dispatchable'!H39,-9)</f>
        <v>173000000000</v>
      </c>
      <c r="I39" s="35">
        <f>ROUND('Master Summary Dispatchable'!I39,-9)</f>
        <v>5000000000</v>
      </c>
      <c r="J39" s="35">
        <f>ROUND('Master Summary Dispatchable'!J39,-9)</f>
        <v>681000000000</v>
      </c>
    </row>
    <row r="40" spans="3:10" x14ac:dyDescent="0.3">
      <c r="C40" s="105" t="s">
        <v>44</v>
      </c>
      <c r="D40" s="35">
        <f>ROUND('Master Summary Dispatchable'!D40,-9)</f>
        <v>26000000000</v>
      </c>
      <c r="E40" s="35">
        <f>ROUND('Master Summary Dispatchable'!E40,-9)</f>
        <v>59000000000</v>
      </c>
      <c r="F40" s="35">
        <f>ROUND('Master Summary Dispatchable'!F40,-9)</f>
        <v>12000000000</v>
      </c>
      <c r="G40" s="35">
        <f>ROUND('Master Summary Dispatchable'!G40,-9)</f>
        <v>109000000000</v>
      </c>
      <c r="H40" s="35">
        <f>ROUND('Master Summary Dispatchable'!H40,-9)</f>
        <v>65000000000</v>
      </c>
      <c r="I40" s="35">
        <f>ROUND('Master Summary Dispatchable'!I40,-9)</f>
        <v>1000000000</v>
      </c>
      <c r="J40" s="35">
        <f>ROUND('Master Summary Dispatchable'!J40,-9)</f>
        <v>272000000000</v>
      </c>
    </row>
    <row r="41" spans="3:10" x14ac:dyDescent="0.3">
      <c r="C41" s="105" t="s">
        <v>45</v>
      </c>
      <c r="D41" s="35">
        <f>ROUND('Master Summary Dispatchable'!D41,-9)</f>
        <v>20000000000</v>
      </c>
      <c r="E41" s="35">
        <f>ROUND('Master Summary Dispatchable'!E41,-9)</f>
        <v>20000000000</v>
      </c>
      <c r="F41" s="35">
        <f>ROUND('Master Summary Dispatchable'!F41,-9)</f>
        <v>11000000000</v>
      </c>
      <c r="G41" s="35">
        <f>ROUND('Master Summary Dispatchable'!G41,-9)</f>
        <v>99000000000</v>
      </c>
      <c r="H41" s="35">
        <f>ROUND('Master Summary Dispatchable'!H41,-9)</f>
        <v>65000000000</v>
      </c>
      <c r="I41" s="35">
        <f>ROUND('Master Summary Dispatchable'!I41,-9)</f>
        <v>2000000000</v>
      </c>
      <c r="J41" s="35">
        <f>ROUND('Master Summary Dispatchable'!J41,-9)</f>
        <v>216000000000</v>
      </c>
    </row>
    <row r="42" spans="3:10" x14ac:dyDescent="0.3">
      <c r="C42" s="105" t="s">
        <v>46</v>
      </c>
      <c r="D42" s="35">
        <f>ROUND('Master Summary Dispatchable'!D42,-9)</f>
        <v>45000000000</v>
      </c>
      <c r="E42" s="35">
        <f>ROUND('Master Summary Dispatchable'!E42,-9)</f>
        <v>110000000000</v>
      </c>
      <c r="F42" s="35">
        <f>ROUND('Master Summary Dispatchable'!F42,-9)</f>
        <v>41000000000</v>
      </c>
      <c r="G42" s="35">
        <f>ROUND('Master Summary Dispatchable'!G42,-9)</f>
        <v>355000000000</v>
      </c>
      <c r="H42" s="35">
        <f>ROUND('Master Summary Dispatchable'!H42,-9)</f>
        <v>176000000000</v>
      </c>
      <c r="I42" s="35">
        <f>ROUND('Master Summary Dispatchable'!I42,-9)</f>
        <v>5000000000</v>
      </c>
      <c r="J42" s="35">
        <f>ROUND('Master Summary Dispatchable'!J42,-9)</f>
        <v>732000000000</v>
      </c>
    </row>
    <row r="43" spans="3:10" x14ac:dyDescent="0.3">
      <c r="C43" s="105" t="s">
        <v>47</v>
      </c>
      <c r="D43" s="35">
        <f>ROUND('Master Summary Dispatchable'!D43,-9)</f>
        <v>9000000000</v>
      </c>
      <c r="E43" s="35">
        <f>ROUND('Master Summary Dispatchable'!E43,-9)</f>
        <v>7000000000</v>
      </c>
      <c r="F43" s="35">
        <f>ROUND('Master Summary Dispatchable'!F43,-9)</f>
        <v>3000000000</v>
      </c>
      <c r="G43" s="35">
        <f>ROUND('Master Summary Dispatchable'!G43,-9)</f>
        <v>29000000000</v>
      </c>
      <c r="H43" s="35">
        <f>ROUND('Master Summary Dispatchable'!H43,-9)</f>
        <v>13000000000</v>
      </c>
      <c r="I43" s="35">
        <f>ROUND('Master Summary Dispatchable'!I43,-9)</f>
        <v>0</v>
      </c>
      <c r="J43" s="35">
        <f>ROUND('Master Summary Dispatchable'!J43,-9)</f>
        <v>62000000000</v>
      </c>
    </row>
    <row r="44" spans="3:10" x14ac:dyDescent="0.3">
      <c r="C44" s="105" t="s">
        <v>48</v>
      </c>
      <c r="D44" s="35">
        <f>ROUND('Master Summary Dispatchable'!D44,-9)</f>
        <v>34000000000</v>
      </c>
      <c r="E44" s="35">
        <f>ROUND('Master Summary Dispatchable'!E44,-9)</f>
        <v>24000000000</v>
      </c>
      <c r="F44" s="35">
        <f>ROUND('Master Summary Dispatchable'!F44,-9)</f>
        <v>8000000000</v>
      </c>
      <c r="G44" s="35">
        <f>ROUND('Master Summary Dispatchable'!G44,-9)</f>
        <v>140000000000</v>
      </c>
      <c r="H44" s="35">
        <f>ROUND('Master Summary Dispatchable'!H44,-9)</f>
        <v>72000000000</v>
      </c>
      <c r="I44" s="35">
        <f>ROUND('Master Summary Dispatchable'!I44,-9)</f>
        <v>2000000000</v>
      </c>
      <c r="J44" s="35">
        <f>ROUND('Master Summary Dispatchable'!J44,-9)</f>
        <v>279000000000</v>
      </c>
    </row>
    <row r="45" spans="3:10" x14ac:dyDescent="0.3">
      <c r="C45" s="105" t="s">
        <v>49</v>
      </c>
      <c r="D45" s="35">
        <f>ROUND('Master Summary Dispatchable'!D45,-9)</f>
        <v>6000000000</v>
      </c>
      <c r="E45" s="35">
        <f>ROUND('Master Summary Dispatchable'!E45,-9)</f>
        <v>7000000000</v>
      </c>
      <c r="F45" s="35">
        <f>ROUND('Master Summary Dispatchable'!F45,-9)</f>
        <v>3000000000</v>
      </c>
      <c r="G45" s="35">
        <f>ROUND('Master Summary Dispatchable'!G45,-9)</f>
        <v>24000000000</v>
      </c>
      <c r="H45" s="35">
        <f>ROUND('Master Summary Dispatchable'!H45,-9)</f>
        <v>22000000000</v>
      </c>
      <c r="I45" s="35">
        <f>ROUND('Master Summary Dispatchable'!I45,-9)</f>
        <v>0</v>
      </c>
      <c r="J45" s="35">
        <f>ROUND('Master Summary Dispatchable'!J45,-9)</f>
        <v>62000000000</v>
      </c>
    </row>
    <row r="46" spans="3:10" x14ac:dyDescent="0.3">
      <c r="C46" s="105" t="s">
        <v>50</v>
      </c>
      <c r="D46" s="35">
        <f>ROUND('Master Summary Dispatchable'!D46,-9)</f>
        <v>45000000000</v>
      </c>
      <c r="E46" s="35">
        <f>ROUND('Master Summary Dispatchable'!E46,-9)</f>
        <v>28000000000</v>
      </c>
      <c r="F46" s="35">
        <f>ROUND('Master Summary Dispatchable'!F46,-9)</f>
        <v>10000000000</v>
      </c>
      <c r="G46" s="35">
        <f>ROUND('Master Summary Dispatchable'!G46,-9)</f>
        <v>186000000000</v>
      </c>
      <c r="H46" s="35">
        <f>ROUND('Master Summary Dispatchable'!H46,-9)</f>
        <v>96000000000</v>
      </c>
      <c r="I46" s="35">
        <f>ROUND('Master Summary Dispatchable'!I46,-9)</f>
        <v>3000000000</v>
      </c>
      <c r="J46" s="35">
        <f>ROUND('Master Summary Dispatchable'!J46,-9)</f>
        <v>368000000000</v>
      </c>
    </row>
    <row r="47" spans="3:10" x14ac:dyDescent="0.3">
      <c r="C47" s="105" t="s">
        <v>51</v>
      </c>
      <c r="D47" s="35">
        <f>ROUND('Master Summary Dispatchable'!D47,-9)</f>
        <v>203000000000</v>
      </c>
      <c r="E47" s="35">
        <f>ROUND('Master Summary Dispatchable'!E47,-9)</f>
        <v>339000000000</v>
      </c>
      <c r="F47" s="35">
        <f>ROUND('Master Summary Dispatchable'!F47,-9)</f>
        <v>44000000000</v>
      </c>
      <c r="G47" s="35">
        <f>ROUND('Master Summary Dispatchable'!G47,-9)</f>
        <v>789000000000</v>
      </c>
      <c r="H47" s="35">
        <f>ROUND('Master Summary Dispatchable'!H47,-9)</f>
        <v>382000000000</v>
      </c>
      <c r="I47" s="35">
        <f>ROUND('Master Summary Dispatchable'!I47,-9)</f>
        <v>13000000000</v>
      </c>
      <c r="J47" s="35">
        <f>ROUND('Master Summary Dispatchable'!J47,-9)</f>
        <v>1770000000000</v>
      </c>
    </row>
    <row r="48" spans="3:10" x14ac:dyDescent="0.3">
      <c r="C48" s="105" t="s">
        <v>53</v>
      </c>
      <c r="D48" s="35">
        <f>ROUND('Master Summary Dispatchable'!D48,-9)</f>
        <v>17000000000</v>
      </c>
      <c r="E48" s="35">
        <f>ROUND('Master Summary Dispatchable'!E48,-9)</f>
        <v>19000000000</v>
      </c>
      <c r="F48" s="35">
        <f>ROUND('Master Summary Dispatchable'!F48,-9)</f>
        <v>8000000000</v>
      </c>
      <c r="G48" s="35">
        <f>ROUND('Master Summary Dispatchable'!G48,-9)</f>
        <v>74000000000</v>
      </c>
      <c r="H48" s="35">
        <f>ROUND('Master Summary Dispatchable'!H48,-9)</f>
        <v>39000000000</v>
      </c>
      <c r="I48" s="35">
        <f>ROUND('Master Summary Dispatchable'!I48,-9)</f>
        <v>1000000000</v>
      </c>
      <c r="J48" s="35">
        <f>ROUND('Master Summary Dispatchable'!J48,-9)</f>
        <v>159000000000</v>
      </c>
    </row>
    <row r="49" spans="3:10" x14ac:dyDescent="0.3">
      <c r="C49" s="105" t="s">
        <v>54</v>
      </c>
      <c r="D49" s="35">
        <f>ROUND('Master Summary Dispatchable'!D49,-9)</f>
        <v>4000000000</v>
      </c>
      <c r="E49" s="35">
        <f>ROUND('Master Summary Dispatchable'!E49,-9)</f>
        <v>1000000000</v>
      </c>
      <c r="F49" s="35">
        <f>ROUND('Master Summary Dispatchable'!F49,-9)</f>
        <v>2000000000</v>
      </c>
      <c r="G49" s="35">
        <f>ROUND('Master Summary Dispatchable'!G49,-9)</f>
        <v>17000000000</v>
      </c>
      <c r="H49" s="35">
        <f>ROUND('Master Summary Dispatchable'!H49,-9)</f>
        <v>10000000000</v>
      </c>
      <c r="I49" s="35">
        <f>ROUND('Master Summary Dispatchable'!I49,-9)</f>
        <v>0</v>
      </c>
      <c r="J49" s="35">
        <f>ROUND('Master Summary Dispatchable'!J49,-9)</f>
        <v>35000000000</v>
      </c>
    </row>
    <row r="50" spans="3:10" x14ac:dyDescent="0.3">
      <c r="C50" s="105" t="s">
        <v>55</v>
      </c>
      <c r="D50" s="35">
        <f>ROUND('Master Summary Dispatchable'!D50,-9)</f>
        <v>43000000000</v>
      </c>
      <c r="E50" s="35">
        <f>ROUND('Master Summary Dispatchable'!E50,-9)</f>
        <v>51000000000</v>
      </c>
      <c r="F50" s="35">
        <f>ROUND('Master Summary Dispatchable'!F50,-9)</f>
        <v>13000000000</v>
      </c>
      <c r="G50" s="35">
        <f>ROUND('Master Summary Dispatchable'!G50,-9)</f>
        <v>234000000000</v>
      </c>
      <c r="H50" s="35">
        <f>ROUND('Master Summary Dispatchable'!H50,-9)</f>
        <v>119000000000</v>
      </c>
      <c r="I50" s="35">
        <f>ROUND('Master Summary Dispatchable'!I50,-9)</f>
        <v>4000000000</v>
      </c>
      <c r="J50" s="35">
        <f>ROUND('Master Summary Dispatchable'!J50,-9)</f>
        <v>464000000000</v>
      </c>
    </row>
    <row r="51" spans="3:10" x14ac:dyDescent="0.3">
      <c r="C51" s="105" t="s">
        <v>56</v>
      </c>
      <c r="D51" s="35">
        <f>ROUND('Master Summary Dispatchable'!D51,-9)</f>
        <v>37000000000</v>
      </c>
      <c r="E51" s="35">
        <f>ROUND('Master Summary Dispatchable'!E51,-9)</f>
        <v>28000000000</v>
      </c>
      <c r="F51" s="35">
        <f>ROUND('Master Summary Dispatchable'!F51,-9)</f>
        <v>20000000000</v>
      </c>
      <c r="G51" s="35">
        <f>ROUND('Master Summary Dispatchable'!G51,-9)</f>
        <v>177000000000</v>
      </c>
      <c r="H51" s="35">
        <f>ROUND('Master Summary Dispatchable'!H51,-9)</f>
        <v>117000000000</v>
      </c>
      <c r="I51" s="35">
        <f>ROUND('Master Summary Dispatchable'!I51,-9)</f>
        <v>4000000000</v>
      </c>
      <c r="J51" s="35">
        <f>ROUND('Master Summary Dispatchable'!J51,-9)</f>
        <v>383000000000</v>
      </c>
    </row>
    <row r="52" spans="3:10" x14ac:dyDescent="0.3">
      <c r="C52" s="105" t="s">
        <v>57</v>
      </c>
      <c r="D52" s="35">
        <f>ROUND('Master Summary Dispatchable'!D52,-9)</f>
        <v>10000000000</v>
      </c>
      <c r="E52" s="35">
        <f>ROUND('Master Summary Dispatchable'!E52,-9)</f>
        <v>16000000000</v>
      </c>
      <c r="F52" s="35">
        <f>ROUND('Master Summary Dispatchable'!F52,-9)</f>
        <v>3000000000</v>
      </c>
      <c r="G52" s="35">
        <f>ROUND('Master Summary Dispatchable'!G52,-9)</f>
        <v>50000000000</v>
      </c>
      <c r="H52" s="35">
        <f>ROUND('Master Summary Dispatchable'!H52,-9)</f>
        <v>30000000000</v>
      </c>
      <c r="I52" s="35">
        <f>ROUND('Master Summary Dispatchable'!I52,-9)</f>
        <v>1000000000</v>
      </c>
      <c r="J52" s="35">
        <f>ROUND('Master Summary Dispatchable'!J52,-9)</f>
        <v>109000000000</v>
      </c>
    </row>
    <row r="53" spans="3:10" x14ac:dyDescent="0.3">
      <c r="C53" s="105" t="s">
        <v>58</v>
      </c>
      <c r="D53" s="35">
        <f>ROUND('Master Summary Dispatchable'!D53,-9)</f>
        <v>32000000000</v>
      </c>
      <c r="E53" s="35">
        <f>ROUND('Master Summary Dispatchable'!E53,-9)</f>
        <v>42000000000</v>
      </c>
      <c r="F53" s="35">
        <f>ROUND('Master Summary Dispatchable'!F53,-9)</f>
        <v>17000000000</v>
      </c>
      <c r="G53" s="35">
        <f>ROUND('Master Summary Dispatchable'!G53,-9)</f>
        <v>161000000000</v>
      </c>
      <c r="H53" s="35">
        <f>ROUND('Master Summary Dispatchable'!H53,-9)</f>
        <v>92000000000</v>
      </c>
      <c r="I53" s="35">
        <f>ROUND('Master Summary Dispatchable'!I53,-9)</f>
        <v>2000000000</v>
      </c>
      <c r="J53" s="35">
        <f>ROUND('Master Summary Dispatchable'!J53,-9)</f>
        <v>347000000000</v>
      </c>
    </row>
    <row r="54" spans="3:10" x14ac:dyDescent="0.3">
      <c r="C54" s="105" t="s">
        <v>59</v>
      </c>
      <c r="D54" s="35">
        <f>ROUND('Master Summary Dispatchable'!D54,-9)</f>
        <v>5000000000</v>
      </c>
      <c r="E54" s="35">
        <f>ROUND('Master Summary Dispatchable'!E54,-9)</f>
        <v>11000000000</v>
      </c>
      <c r="F54" s="35">
        <f>ROUND('Master Summary Dispatchable'!F54,-9)</f>
        <v>2000000000</v>
      </c>
      <c r="G54" s="35">
        <f>ROUND('Master Summary Dispatchable'!G54,-9)</f>
        <v>14000000000</v>
      </c>
      <c r="H54" s="35">
        <f>ROUND('Master Summary Dispatchable'!H54,-9)</f>
        <v>17000000000</v>
      </c>
      <c r="I54" s="35">
        <f>ROUND('Master Summary Dispatchable'!I54,-9)</f>
        <v>0</v>
      </c>
      <c r="J54" s="35">
        <f>ROUND('Master Summary Dispatchable'!J54,-9)</f>
        <v>48000000000</v>
      </c>
    </row>
    <row r="55" spans="3:10" x14ac:dyDescent="0.3">
      <c r="C55" s="106" t="s">
        <v>243</v>
      </c>
      <c r="D55" s="35">
        <f>SUM(D5:D54)</f>
        <v>1750000000000</v>
      </c>
      <c r="E55" s="35">
        <f t="shared" ref="E55:J55" si="0">SUM(E5:E54)</f>
        <v>2355000000000</v>
      </c>
      <c r="F55" s="35">
        <f t="shared" si="0"/>
        <v>788000000000</v>
      </c>
      <c r="G55" s="35">
        <f t="shared" si="0"/>
        <v>8688000000000</v>
      </c>
      <c r="H55" s="35">
        <f t="shared" si="0"/>
        <v>4458000000000</v>
      </c>
      <c r="I55" s="35">
        <f t="shared" si="0"/>
        <v>143000000000</v>
      </c>
      <c r="J55" s="35">
        <f t="shared" si="0"/>
        <v>18185000000000</v>
      </c>
    </row>
  </sheetData>
  <mergeCells count="1">
    <mergeCell ref="D3:E3"/>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BAE4-691B-48D9-9A62-87301707F553}">
  <dimension ref="A1:Y59"/>
  <sheetViews>
    <sheetView showGridLines="0" workbookViewId="0">
      <selection activeCell="G1" sqref="G1:H1"/>
    </sheetView>
  </sheetViews>
  <sheetFormatPr defaultColWidth="9.109375" defaultRowHeight="15" thickTop="1" thickBottom="1" x14ac:dyDescent="0.35"/>
  <cols>
    <col min="1" max="1" width="20.5546875" style="1" bestFit="1" customWidth="1"/>
    <col min="2" max="5" width="15.44140625" style="1" bestFit="1" customWidth="1"/>
    <col min="6" max="6" width="15.44140625" style="17" bestFit="1" customWidth="1"/>
    <col min="7" max="8" width="15.44140625" style="21" customWidth="1"/>
    <col min="9" max="9" width="9.109375" style="18"/>
    <col min="10" max="10" width="11.33203125" style="29" customWidth="1"/>
    <col min="11" max="12" width="11.33203125" style="30" customWidth="1"/>
    <col min="13" max="13" width="14.5546875" style="55" customWidth="1"/>
    <col min="14" max="18" width="11.33203125" style="30" customWidth="1"/>
    <col min="19" max="19" width="25.33203125" style="30" customWidth="1"/>
    <col min="20" max="20" width="23.77734375" style="30" customWidth="1"/>
    <col min="21" max="21" width="11.33203125" style="30" customWidth="1"/>
    <col min="22" max="24" width="9.109375" style="24"/>
    <col min="25" max="25" width="9.109375" style="25"/>
    <col min="26" max="16384" width="9.109375" style="1"/>
  </cols>
  <sheetData>
    <row r="1" spans="1:25" ht="31.8" customHeight="1" x14ac:dyDescent="0.3">
      <c r="A1" s="177" t="s">
        <v>0</v>
      </c>
      <c r="B1" s="177"/>
      <c r="C1" s="177"/>
      <c r="D1" s="177"/>
      <c r="E1" s="177"/>
      <c r="F1" s="177"/>
      <c r="G1" s="178" t="s">
        <v>494</v>
      </c>
      <c r="H1" s="179"/>
      <c r="I1" s="1" t="s">
        <v>479</v>
      </c>
      <c r="J1" s="31"/>
      <c r="K1" s="32"/>
      <c r="L1" s="32"/>
      <c r="M1" s="54"/>
      <c r="N1" s="32"/>
      <c r="O1" s="32"/>
      <c r="P1" s="32"/>
      <c r="Q1" s="32"/>
      <c r="R1" s="32"/>
      <c r="S1" s="32"/>
      <c r="T1" s="32"/>
      <c r="U1" s="32"/>
      <c r="V1" s="26"/>
      <c r="W1" s="26"/>
      <c r="X1" s="26"/>
      <c r="Y1" s="23"/>
    </row>
    <row r="2" spans="1:25" ht="15.9" customHeight="1" x14ac:dyDescent="0.3">
      <c r="A2" s="177" t="s">
        <v>112</v>
      </c>
      <c r="B2" s="177"/>
      <c r="C2" s="177"/>
      <c r="D2" s="177"/>
      <c r="E2" s="177"/>
      <c r="F2" s="177"/>
      <c r="G2" s="34"/>
      <c r="H2" s="34"/>
      <c r="I2" s="27"/>
    </row>
    <row r="3" spans="1:25" ht="41.4" x14ac:dyDescent="0.3">
      <c r="A3" s="2" t="s">
        <v>1</v>
      </c>
      <c r="B3" s="6" t="s">
        <v>2</v>
      </c>
      <c r="C3" s="6" t="s">
        <v>3</v>
      </c>
      <c r="D3" s="6" t="s">
        <v>4</v>
      </c>
      <c r="E3" s="6" t="s">
        <v>5</v>
      </c>
      <c r="F3" s="2" t="s">
        <v>6</v>
      </c>
      <c r="G3" s="21" t="s">
        <v>233</v>
      </c>
      <c r="H3" s="44" t="s">
        <v>232</v>
      </c>
      <c r="I3" s="28" t="s">
        <v>218</v>
      </c>
      <c r="J3" s="29" t="s">
        <v>231</v>
      </c>
      <c r="K3" s="30" t="s">
        <v>219</v>
      </c>
      <c r="L3" s="30" t="s">
        <v>220</v>
      </c>
      <c r="M3" s="55" t="s">
        <v>221</v>
      </c>
      <c r="N3" s="30" t="s">
        <v>234</v>
      </c>
      <c r="O3" s="30" t="s">
        <v>222</v>
      </c>
      <c r="P3" s="30" t="s">
        <v>223</v>
      </c>
      <c r="Q3" s="30" t="s">
        <v>236</v>
      </c>
      <c r="R3" s="30" t="s">
        <v>224</v>
      </c>
      <c r="S3" s="30" t="s">
        <v>235</v>
      </c>
      <c r="T3" s="30" t="s">
        <v>225</v>
      </c>
    </row>
    <row r="4" spans="1:25" ht="27" x14ac:dyDescent="0.3">
      <c r="A4" s="2" t="s">
        <v>7</v>
      </c>
      <c r="B4" s="3" t="s">
        <v>8</v>
      </c>
      <c r="C4" s="3" t="s">
        <v>8</v>
      </c>
      <c r="D4" s="3" t="s">
        <v>8</v>
      </c>
      <c r="E4" s="3" t="s">
        <v>8</v>
      </c>
      <c r="F4" s="19" t="s">
        <v>8</v>
      </c>
      <c r="G4" s="45"/>
      <c r="H4" s="45"/>
      <c r="I4" s="27"/>
    </row>
    <row r="5" spans="1:25" ht="13.8" x14ac:dyDescent="0.3">
      <c r="A5" s="4" t="s">
        <v>9</v>
      </c>
      <c r="B5" s="5">
        <v>30181</v>
      </c>
      <c r="C5" s="5">
        <v>22744</v>
      </c>
      <c r="D5" s="5">
        <v>33317</v>
      </c>
      <c r="E5" s="5">
        <v>0</v>
      </c>
      <c r="F5" s="20">
        <v>86242</v>
      </c>
      <c r="G5" s="47">
        <f>F5/8760</f>
        <v>9.8449771689497716</v>
      </c>
      <c r="H5" s="46">
        <f>G5*10^6</f>
        <v>9844977.1689497717</v>
      </c>
      <c r="I5" s="49">
        <v>2.57</v>
      </c>
      <c r="J5" s="48">
        <f>(H5-(H5*(I5/100)))*3</f>
        <v>28775883.767123289</v>
      </c>
      <c r="K5" s="52">
        <f>H5</f>
        <v>9844977.1689497717</v>
      </c>
      <c r="L5" s="53">
        <f>H5</f>
        <v>9844977.1689497717</v>
      </c>
      <c r="M5" s="56">
        <f>H5</f>
        <v>9844977.1689497717</v>
      </c>
      <c r="N5" s="57">
        <f>M5</f>
        <v>9844977.1689497717</v>
      </c>
      <c r="O5" s="30">
        <v>1694</v>
      </c>
      <c r="P5" s="30">
        <v>1850</v>
      </c>
      <c r="Q5" s="30">
        <v>572</v>
      </c>
      <c r="R5" s="30">
        <f>1250+572</f>
        <v>1822</v>
      </c>
      <c r="S5" s="58">
        <f>(J5*'Cost Data'!$C$4)+('Cost Data'!$C$5*K5)+(L5*'Cost Data'!$C$6)</f>
        <v>72590881804.703201</v>
      </c>
      <c r="T5" s="58">
        <f>M5*'Cost Data'!$C$7</f>
        <v>25321281278.538815</v>
      </c>
    </row>
    <row r="6" spans="1:25" ht="13.8" x14ac:dyDescent="0.3">
      <c r="A6" s="4" t="s">
        <v>10</v>
      </c>
      <c r="B6" s="5">
        <v>2060</v>
      </c>
      <c r="C6" s="5">
        <v>2705</v>
      </c>
      <c r="D6" s="5">
        <v>1421</v>
      </c>
      <c r="E6" s="5">
        <v>0</v>
      </c>
      <c r="F6" s="20">
        <v>6186</v>
      </c>
      <c r="G6" s="47">
        <f t="shared" ref="G6:G47" si="0">F6/8760</f>
        <v>0.70616438356164379</v>
      </c>
      <c r="H6" s="46">
        <f t="shared" ref="H6:H47" si="1">G6*10^6</f>
        <v>706164.38356164377</v>
      </c>
      <c r="I6" s="49">
        <v>3.45</v>
      </c>
      <c r="J6" s="48">
        <f t="shared" ref="J6:J12" si="2">(H6-(H6*(I6/100)))*3</f>
        <v>2045405.1369863013</v>
      </c>
      <c r="K6" s="52">
        <f t="shared" ref="K6:K47" si="3">H6</f>
        <v>706164.38356164377</v>
      </c>
      <c r="L6" s="53">
        <f t="shared" ref="L6:L47" si="4">H6</f>
        <v>706164.38356164377</v>
      </c>
      <c r="M6" s="56">
        <f t="shared" ref="M6:M47" si="5">H6</f>
        <v>706164.38356164377</v>
      </c>
      <c r="N6" s="57">
        <f t="shared" ref="N6:N47" si="6">M6</f>
        <v>706164.38356164377</v>
      </c>
      <c r="O6" s="30">
        <v>1694</v>
      </c>
      <c r="P6" s="30">
        <v>1850</v>
      </c>
      <c r="Q6" s="30">
        <v>572</v>
      </c>
      <c r="R6" s="30">
        <f t="shared" ref="R6:R55" si="7">1250+572</f>
        <v>1822</v>
      </c>
      <c r="S6" s="58">
        <f>(J6*'Cost Data'!$C$4)+('Cost Data'!$C$5*K6)+(L6*'Cost Data'!$C$6)</f>
        <v>5175246439.0410957</v>
      </c>
      <c r="T6" s="58">
        <f>M6*'Cost Data'!$C$7</f>
        <v>1816254794.5205479</v>
      </c>
    </row>
    <row r="7" spans="1:25" ht="13.8" x14ac:dyDescent="0.3">
      <c r="A7" s="4" t="s">
        <v>11</v>
      </c>
      <c r="B7" s="5">
        <v>34251</v>
      </c>
      <c r="C7" s="5">
        <v>29681</v>
      </c>
      <c r="D7" s="5">
        <v>13706</v>
      </c>
      <c r="E7" s="5">
        <v>8</v>
      </c>
      <c r="F7" s="20">
        <v>77646</v>
      </c>
      <c r="G7" s="47">
        <f t="shared" si="0"/>
        <v>8.8636986301369856</v>
      </c>
      <c r="H7" s="46">
        <f t="shared" si="1"/>
        <v>8863698.6301369853</v>
      </c>
      <c r="I7" s="50">
        <v>5.3</v>
      </c>
      <c r="J7" s="48">
        <f t="shared" si="2"/>
        <v>25181767.808219176</v>
      </c>
      <c r="K7" s="52">
        <f t="shared" si="3"/>
        <v>8863698.6301369853</v>
      </c>
      <c r="L7" s="53">
        <f t="shared" si="4"/>
        <v>8863698.6301369853</v>
      </c>
      <c r="M7" s="56">
        <f t="shared" si="5"/>
        <v>8863698.6301369853</v>
      </c>
      <c r="N7" s="57">
        <f t="shared" si="6"/>
        <v>8863698.6301369853</v>
      </c>
      <c r="O7" s="30">
        <v>1694</v>
      </c>
      <c r="P7" s="30">
        <v>1850</v>
      </c>
      <c r="Q7" s="30">
        <v>572</v>
      </c>
      <c r="R7" s="30">
        <f t="shared" si="7"/>
        <v>1822</v>
      </c>
      <c r="S7" s="58">
        <f>(J7*'Cost Data'!$C$4)+('Cost Data'!$C$5*K7)+(L7*'Cost Data'!$C$6)</f>
        <v>64125792749.315063</v>
      </c>
      <c r="T7" s="58">
        <f>M7*'Cost Data'!$C$7</f>
        <v>22797432876.712326</v>
      </c>
    </row>
    <row r="8" spans="1:25" ht="13.8" x14ac:dyDescent="0.3">
      <c r="A8" s="4" t="s">
        <v>12</v>
      </c>
      <c r="B8" s="5">
        <v>17027</v>
      </c>
      <c r="C8" s="5">
        <v>11913</v>
      </c>
      <c r="D8" s="5">
        <v>17146</v>
      </c>
      <c r="E8" s="5">
        <v>0.39</v>
      </c>
      <c r="F8" s="20">
        <v>46086</v>
      </c>
      <c r="G8" s="47">
        <f t="shared" si="0"/>
        <v>5.2609589041095894</v>
      </c>
      <c r="H8" s="46">
        <f t="shared" si="1"/>
        <v>5260958.9041095898</v>
      </c>
      <c r="I8" s="49">
        <v>2.4500000000000002</v>
      </c>
      <c r="J8" s="48">
        <f t="shared" si="2"/>
        <v>15396196.232876714</v>
      </c>
      <c r="K8" s="52">
        <f t="shared" si="3"/>
        <v>5260958.9041095898</v>
      </c>
      <c r="L8" s="53">
        <f t="shared" si="4"/>
        <v>5260958.9041095898</v>
      </c>
      <c r="M8" s="56">
        <f t="shared" si="5"/>
        <v>5260958.9041095898</v>
      </c>
      <c r="N8" s="57">
        <f t="shared" si="6"/>
        <v>5260958.9041095898</v>
      </c>
      <c r="O8" s="30">
        <v>1694</v>
      </c>
      <c r="P8" s="30">
        <v>1850</v>
      </c>
      <c r="Q8" s="30">
        <v>572</v>
      </c>
      <c r="R8" s="30">
        <f t="shared" si="7"/>
        <v>1822</v>
      </c>
      <c r="S8" s="58">
        <f>(J8*'Cost Data'!$C$4)+('Cost Data'!$C$5*K8)+(L8*'Cost Data'!$C$6)</f>
        <v>38823198884.246582</v>
      </c>
      <c r="T8" s="58">
        <f>M8*'Cost Data'!$C$7</f>
        <v>13531186301.369865</v>
      </c>
    </row>
    <row r="9" spans="1:25" ht="13.8" x14ac:dyDescent="0.3">
      <c r="A9" s="4" t="s">
        <v>13</v>
      </c>
      <c r="B9" s="5">
        <v>90124</v>
      </c>
      <c r="C9" s="5">
        <v>117682</v>
      </c>
      <c r="D9" s="5">
        <v>48627</v>
      </c>
      <c r="E9" s="5">
        <v>835</v>
      </c>
      <c r="F9" s="20">
        <v>257268</v>
      </c>
      <c r="G9" s="47">
        <f t="shared" si="0"/>
        <v>29.36849315068493</v>
      </c>
      <c r="H9" s="46">
        <f t="shared" si="1"/>
        <v>29368493.15068493</v>
      </c>
      <c r="I9" s="50">
        <v>26.5</v>
      </c>
      <c r="J9" s="48">
        <f t="shared" si="2"/>
        <v>64757527.397260264</v>
      </c>
      <c r="K9" s="52">
        <f t="shared" si="3"/>
        <v>29368493.15068493</v>
      </c>
      <c r="L9" s="53">
        <f t="shared" si="4"/>
        <v>29368493.15068493</v>
      </c>
      <c r="M9" s="56">
        <f t="shared" si="5"/>
        <v>29368493.15068493</v>
      </c>
      <c r="N9" s="57">
        <f t="shared" si="6"/>
        <v>29368493.15068493</v>
      </c>
      <c r="O9" s="30">
        <v>1694</v>
      </c>
      <c r="P9" s="30">
        <v>1850</v>
      </c>
      <c r="Q9" s="30">
        <v>572</v>
      </c>
      <c r="R9" s="30">
        <f t="shared" si="7"/>
        <v>1822</v>
      </c>
      <c r="S9" s="58">
        <f>(J9*'Cost Data'!$C$4)+('Cost Data'!$C$5*K9)+(L9*'Cost Data'!$C$6)</f>
        <v>180829741821.91779</v>
      </c>
      <c r="T9" s="58">
        <f>M9*'Cost Data'!$C$7</f>
        <v>75535764383.561646</v>
      </c>
    </row>
    <row r="10" spans="1:25" ht="13.8" x14ac:dyDescent="0.3">
      <c r="A10" s="4" t="s">
        <v>14</v>
      </c>
      <c r="B10" s="5">
        <v>18615</v>
      </c>
      <c r="C10" s="5">
        <v>20641</v>
      </c>
      <c r="D10" s="5">
        <v>15501</v>
      </c>
      <c r="E10" s="5">
        <v>73</v>
      </c>
      <c r="F10" s="20">
        <v>54830</v>
      </c>
      <c r="G10" s="47">
        <f t="shared" si="0"/>
        <v>6.2591324200913245</v>
      </c>
      <c r="H10" s="46">
        <f t="shared" si="1"/>
        <v>6259132.4200913245</v>
      </c>
      <c r="I10" s="50">
        <v>19.600000000000001</v>
      </c>
      <c r="J10" s="48">
        <f t="shared" si="2"/>
        <v>15097027.397260275</v>
      </c>
      <c r="K10" s="52">
        <f t="shared" si="3"/>
        <v>6259132.4200913245</v>
      </c>
      <c r="L10" s="53">
        <f t="shared" si="4"/>
        <v>6259132.4200913245</v>
      </c>
      <c r="M10" s="56">
        <f t="shared" si="5"/>
        <v>6259132.4200913245</v>
      </c>
      <c r="N10" s="57">
        <f t="shared" si="6"/>
        <v>6259132.4200913245</v>
      </c>
      <c r="O10" s="30">
        <v>1694</v>
      </c>
      <c r="P10" s="30">
        <v>1850</v>
      </c>
      <c r="Q10" s="30">
        <v>572</v>
      </c>
      <c r="R10" s="30">
        <f t="shared" si="7"/>
        <v>1822</v>
      </c>
      <c r="S10" s="58">
        <f>(J10*'Cost Data'!$C$4)+('Cost Data'!$C$5*K10)+(L10*'Cost Data'!$C$6)</f>
        <v>40733983132.42009</v>
      </c>
      <c r="T10" s="58">
        <f>M10*'Cost Data'!$C$7</f>
        <v>16098488584.474886</v>
      </c>
    </row>
    <row r="11" spans="1:25" ht="13.8" x14ac:dyDescent="0.3">
      <c r="A11" s="4" t="s">
        <v>15</v>
      </c>
      <c r="B11" s="5">
        <v>12380</v>
      </c>
      <c r="C11" s="5">
        <v>12335</v>
      </c>
      <c r="D11" s="5">
        <v>3244</v>
      </c>
      <c r="E11" s="5">
        <v>177</v>
      </c>
      <c r="F11" s="20">
        <v>28136</v>
      </c>
      <c r="G11" s="47">
        <f t="shared" si="0"/>
        <v>3.2118721461187216</v>
      </c>
      <c r="H11" s="46">
        <f t="shared" si="1"/>
        <v>3211872.1461187215</v>
      </c>
      <c r="I11" s="49">
        <v>2.7</v>
      </c>
      <c r="J11" s="48">
        <f t="shared" si="2"/>
        <v>9375454.7945205476</v>
      </c>
      <c r="K11" s="52">
        <f t="shared" si="3"/>
        <v>3211872.1461187215</v>
      </c>
      <c r="L11" s="53">
        <f t="shared" si="4"/>
        <v>3211872.1461187215</v>
      </c>
      <c r="M11" s="56">
        <f t="shared" si="5"/>
        <v>3211872.1461187215</v>
      </c>
      <c r="N11" s="57">
        <f t="shared" si="6"/>
        <v>3211872.1461187215</v>
      </c>
      <c r="O11" s="30">
        <v>1694</v>
      </c>
      <c r="P11" s="30">
        <v>1850</v>
      </c>
      <c r="Q11" s="30">
        <v>572</v>
      </c>
      <c r="R11" s="30">
        <f t="shared" si="7"/>
        <v>1822</v>
      </c>
      <c r="S11" s="58">
        <f>(J11*'Cost Data'!$C$4)+('Cost Data'!$C$5*K11)+(L11*'Cost Data'!$C$6)</f>
        <v>23661174759.817352</v>
      </c>
      <c r="T11" s="58">
        <f>M11*'Cost Data'!$C$7</f>
        <v>8260935159.8173513</v>
      </c>
    </row>
    <row r="12" spans="1:25" ht="13.8" x14ac:dyDescent="0.3">
      <c r="A12" s="4" t="s">
        <v>16</v>
      </c>
      <c r="B12" s="5">
        <v>4663</v>
      </c>
      <c r="C12" s="5">
        <v>4185</v>
      </c>
      <c r="D12" s="5">
        <v>2281</v>
      </c>
      <c r="E12" s="5">
        <v>0</v>
      </c>
      <c r="F12" s="20">
        <v>11129</v>
      </c>
      <c r="G12" s="47">
        <f t="shared" si="0"/>
        <v>1.2704337899543379</v>
      </c>
      <c r="H12" s="46">
        <f t="shared" si="1"/>
        <v>1270433.7899543378</v>
      </c>
      <c r="I12" s="49">
        <v>1.68</v>
      </c>
      <c r="J12" s="48">
        <f t="shared" si="2"/>
        <v>3747271.506849315</v>
      </c>
      <c r="K12" s="52">
        <f t="shared" si="3"/>
        <v>1270433.7899543378</v>
      </c>
      <c r="L12" s="53">
        <f t="shared" si="4"/>
        <v>1270433.7899543378</v>
      </c>
      <c r="M12" s="56">
        <f t="shared" si="5"/>
        <v>1270433.7899543378</v>
      </c>
      <c r="N12" s="57">
        <f t="shared" si="6"/>
        <v>1270433.7899543378</v>
      </c>
      <c r="O12" s="30">
        <v>1694</v>
      </c>
      <c r="P12" s="30">
        <v>1850</v>
      </c>
      <c r="Q12" s="30">
        <v>572</v>
      </c>
      <c r="R12" s="30">
        <f t="shared" si="7"/>
        <v>1822</v>
      </c>
      <c r="S12" s="58">
        <f>(J12*'Cost Data'!$C$4)+('Cost Data'!$C$5*K12)+(L12*'Cost Data'!$C$6)</f>
        <v>9424868571.8721466</v>
      </c>
      <c r="T12" s="58">
        <f>M12*'Cost Data'!$C$7</f>
        <v>3267555707.7625566</v>
      </c>
    </row>
    <row r="13" spans="1:25" ht="13.8" x14ac:dyDescent="0.3">
      <c r="A13" s="4" t="s">
        <v>17</v>
      </c>
      <c r="B13" s="5">
        <v>121463</v>
      </c>
      <c r="C13" s="5">
        <v>95004</v>
      </c>
      <c r="D13" s="5">
        <v>16602</v>
      </c>
      <c r="E13" s="5">
        <v>86</v>
      </c>
      <c r="F13" s="20">
        <v>233155</v>
      </c>
      <c r="G13" s="47">
        <f t="shared" si="0"/>
        <v>26.615867579908677</v>
      </c>
      <c r="H13" s="46">
        <f t="shared" si="1"/>
        <v>26615867.579908676</v>
      </c>
      <c r="I13" s="49">
        <v>2.44</v>
      </c>
      <c r="J13" s="48">
        <f t="shared" ref="J13:J46" si="8">(H13-(H13*(I14/100)))*3</f>
        <v>75455984.589041099</v>
      </c>
      <c r="K13" s="52">
        <f t="shared" si="3"/>
        <v>26615867.579908676</v>
      </c>
      <c r="L13" s="53">
        <f t="shared" si="4"/>
        <v>26615867.579908676</v>
      </c>
      <c r="M13" s="56">
        <f t="shared" si="5"/>
        <v>26615867.579908676</v>
      </c>
      <c r="N13" s="57">
        <f t="shared" si="6"/>
        <v>26615867.579908676</v>
      </c>
      <c r="O13" s="30">
        <v>1694</v>
      </c>
      <c r="P13" s="30">
        <v>1850</v>
      </c>
      <c r="Q13" s="30">
        <v>572</v>
      </c>
      <c r="R13" s="30">
        <f t="shared" si="7"/>
        <v>1822</v>
      </c>
      <c r="S13" s="58">
        <f>(J13*'Cost Data'!$C$4)+('Cost Data'!$C$5*K13)+(L13*'Cost Data'!$C$6)</f>
        <v>192286069172.37445</v>
      </c>
      <c r="T13" s="58">
        <f>M13*'Cost Data'!$C$7</f>
        <v>68456011415.525116</v>
      </c>
    </row>
    <row r="14" spans="1:25" ht="13.8" x14ac:dyDescent="0.3">
      <c r="A14" s="4" t="s">
        <v>18</v>
      </c>
      <c r="B14" s="5">
        <v>54771</v>
      </c>
      <c r="C14" s="5">
        <v>46265</v>
      </c>
      <c r="D14" s="5">
        <v>32251</v>
      </c>
      <c r="E14" s="5">
        <v>169</v>
      </c>
      <c r="F14" s="20">
        <v>133457</v>
      </c>
      <c r="G14" s="47">
        <f t="shared" si="0"/>
        <v>15.234817351598174</v>
      </c>
      <c r="H14" s="46">
        <f t="shared" si="1"/>
        <v>15234817.351598173</v>
      </c>
      <c r="I14" s="50">
        <v>5.5</v>
      </c>
      <c r="J14" s="48">
        <f t="shared" si="8"/>
        <v>39534351.02739726</v>
      </c>
      <c r="K14" s="52">
        <f t="shared" si="3"/>
        <v>15234817.351598173</v>
      </c>
      <c r="L14" s="53">
        <f t="shared" si="4"/>
        <v>15234817.351598173</v>
      </c>
      <c r="M14" s="56">
        <f t="shared" si="5"/>
        <v>15234817.351598173</v>
      </c>
      <c r="N14" s="57">
        <f t="shared" si="6"/>
        <v>15234817.351598173</v>
      </c>
      <c r="O14" s="30">
        <v>1694</v>
      </c>
      <c r="P14" s="30">
        <v>1850</v>
      </c>
      <c r="Q14" s="30">
        <v>572</v>
      </c>
      <c r="R14" s="30">
        <f t="shared" si="7"/>
        <v>1822</v>
      </c>
      <c r="S14" s="58">
        <f>(J14*'Cost Data'!$C$4)+('Cost Data'!$C$5*K14)+(L14*'Cost Data'!$C$6)</f>
        <v>103869918265.98174</v>
      </c>
      <c r="T14" s="58">
        <f>M14*'Cost Data'!$C$7</f>
        <v>39183950228.310501</v>
      </c>
    </row>
    <row r="15" spans="1:25" ht="13.8" x14ac:dyDescent="0.3">
      <c r="A15" s="4" t="s">
        <v>19</v>
      </c>
      <c r="B15" s="5">
        <v>2630</v>
      </c>
      <c r="C15" s="5">
        <v>3082</v>
      </c>
      <c r="D15" s="5">
        <v>3613</v>
      </c>
      <c r="E15" s="5">
        <v>0</v>
      </c>
      <c r="F15" s="20">
        <v>9324</v>
      </c>
      <c r="G15" s="47">
        <f t="shared" si="0"/>
        <v>1.0643835616438355</v>
      </c>
      <c r="H15" s="46">
        <f t="shared" si="1"/>
        <v>1064383.5616438356</v>
      </c>
      <c r="I15" s="50">
        <v>13.5</v>
      </c>
      <c r="J15" s="48">
        <f t="shared" si="8"/>
        <v>2493850.6849315069</v>
      </c>
      <c r="K15" s="52">
        <f t="shared" si="3"/>
        <v>1064383.5616438356</v>
      </c>
      <c r="L15" s="53">
        <f t="shared" si="4"/>
        <v>1064383.5616438356</v>
      </c>
      <c r="M15" s="56">
        <f t="shared" si="5"/>
        <v>1064383.5616438356</v>
      </c>
      <c r="N15" s="57">
        <f t="shared" si="6"/>
        <v>1064383.5616438356</v>
      </c>
      <c r="O15" s="30">
        <v>1694</v>
      </c>
      <c r="P15" s="30">
        <v>1850</v>
      </c>
      <c r="Q15" s="30">
        <v>572</v>
      </c>
      <c r="R15" s="30">
        <f t="shared" si="7"/>
        <v>1822</v>
      </c>
      <c r="S15" s="58">
        <f>(J15*'Cost Data'!$C$4)+('Cost Data'!$C$5*K15)+(L15*'Cost Data'!$C$6)</f>
        <v>6802520046.5753422</v>
      </c>
      <c r="T15" s="58">
        <f>M15*'Cost Data'!$C$7</f>
        <v>2737594520.547945</v>
      </c>
    </row>
    <row r="16" spans="1:25" ht="13.8" x14ac:dyDescent="0.3">
      <c r="A16" s="4" t="s">
        <v>20</v>
      </c>
      <c r="B16" s="5">
        <v>8728</v>
      </c>
      <c r="C16" s="5">
        <v>6421</v>
      </c>
      <c r="D16" s="5">
        <v>8645</v>
      </c>
      <c r="E16" s="5">
        <v>0</v>
      </c>
      <c r="F16" s="20">
        <v>23794</v>
      </c>
      <c r="G16" s="47">
        <f t="shared" si="0"/>
        <v>2.7162100456621006</v>
      </c>
      <c r="H16" s="46">
        <f t="shared" si="1"/>
        <v>2716210.0456621004</v>
      </c>
      <c r="I16" s="50">
        <v>21.9</v>
      </c>
      <c r="J16" s="48">
        <f t="shared" si="8"/>
        <v>7618969.1780821923</v>
      </c>
      <c r="K16" s="52">
        <f t="shared" si="3"/>
        <v>2716210.0456621004</v>
      </c>
      <c r="L16" s="53">
        <f t="shared" si="4"/>
        <v>2716210.0456621004</v>
      </c>
      <c r="M16" s="56">
        <f t="shared" si="5"/>
        <v>2716210.0456621004</v>
      </c>
      <c r="N16" s="57">
        <f t="shared" si="6"/>
        <v>2716210.0456621004</v>
      </c>
      <c r="O16" s="30">
        <v>1694</v>
      </c>
      <c r="P16" s="30">
        <v>1850</v>
      </c>
      <c r="Q16" s="30">
        <v>572</v>
      </c>
      <c r="R16" s="30">
        <f t="shared" si="7"/>
        <v>1822</v>
      </c>
      <c r="S16" s="58">
        <f>(J16*'Cost Data'!$C$4)+('Cost Data'!$C$5*K16)+(L16*'Cost Data'!$C$6)</f>
        <v>19485194518.264839</v>
      </c>
      <c r="T16" s="58">
        <f>M16*'Cost Data'!$C$7</f>
        <v>6986092237.4429226</v>
      </c>
    </row>
    <row r="17" spans="1:20" ht="13.8" x14ac:dyDescent="0.3">
      <c r="A17" s="4" t="s">
        <v>21</v>
      </c>
      <c r="B17" s="5">
        <v>43717</v>
      </c>
      <c r="C17" s="5">
        <v>49988</v>
      </c>
      <c r="D17" s="5">
        <v>42971</v>
      </c>
      <c r="E17" s="5">
        <v>520</v>
      </c>
      <c r="F17" s="20">
        <v>137196</v>
      </c>
      <c r="G17" s="47">
        <f t="shared" si="0"/>
        <v>15.661643835616438</v>
      </c>
      <c r="H17" s="46">
        <f t="shared" si="1"/>
        <v>15661643.835616438</v>
      </c>
      <c r="I17" s="50">
        <v>6.5</v>
      </c>
      <c r="J17" s="48">
        <f t="shared" si="8"/>
        <v>44400760.273972601</v>
      </c>
      <c r="K17" s="52">
        <f t="shared" si="3"/>
        <v>15661643.835616438</v>
      </c>
      <c r="L17" s="53">
        <f t="shared" si="4"/>
        <v>15661643.835616438</v>
      </c>
      <c r="M17" s="56">
        <f t="shared" si="5"/>
        <v>15661643.835616438</v>
      </c>
      <c r="N17" s="57">
        <f t="shared" si="6"/>
        <v>15661643.835616438</v>
      </c>
      <c r="O17" s="30">
        <v>1694</v>
      </c>
      <c r="P17" s="30">
        <v>1850</v>
      </c>
      <c r="Q17" s="30">
        <v>572</v>
      </c>
      <c r="R17" s="30">
        <f t="shared" si="7"/>
        <v>1822</v>
      </c>
      <c r="S17" s="58">
        <f>(J17*'Cost Data'!$C$4)+('Cost Data'!$C$5*K17)+(L17*'Cost Data'!$C$6)</f>
        <v>113147389273.9726</v>
      </c>
      <c r="T17" s="58">
        <f>M17*'Cost Data'!$C$7</f>
        <v>40281747945.205475</v>
      </c>
    </row>
    <row r="18" spans="1:20" ht="13.8" x14ac:dyDescent="0.3">
      <c r="A18" s="4" t="s">
        <v>22</v>
      </c>
      <c r="B18" s="5">
        <v>31552</v>
      </c>
      <c r="C18" s="5">
        <v>23657</v>
      </c>
      <c r="D18" s="5">
        <v>43737</v>
      </c>
      <c r="E18" s="5">
        <v>20</v>
      </c>
      <c r="F18" s="20">
        <v>98966</v>
      </c>
      <c r="G18" s="47">
        <f t="shared" si="0"/>
        <v>11.297488584474886</v>
      </c>
      <c r="H18" s="46">
        <f t="shared" si="1"/>
        <v>11297488.584474886</v>
      </c>
      <c r="I18" s="50">
        <v>5.5</v>
      </c>
      <c r="J18" s="48">
        <f t="shared" si="8"/>
        <v>21284468.493150681</v>
      </c>
      <c r="K18" s="52">
        <f t="shared" si="3"/>
        <v>11297488.584474886</v>
      </c>
      <c r="L18" s="53">
        <f t="shared" si="4"/>
        <v>11297488.584474886</v>
      </c>
      <c r="M18" s="56">
        <f t="shared" si="5"/>
        <v>11297488.584474886</v>
      </c>
      <c r="N18" s="57">
        <f t="shared" si="6"/>
        <v>11297488.584474886</v>
      </c>
      <c r="O18" s="30">
        <v>1694</v>
      </c>
      <c r="P18" s="30">
        <v>1850</v>
      </c>
      <c r="Q18" s="30">
        <v>572</v>
      </c>
      <c r="R18" s="30">
        <f t="shared" si="7"/>
        <v>1822</v>
      </c>
      <c r="S18" s="58">
        <f>(J18*'Cost Data'!$C$4)+('Cost Data'!$C$5*K18)+(L18*'Cost Data'!$C$6)</f>
        <v>63418406978.99543</v>
      </c>
      <c r="T18" s="58">
        <f>M18*'Cost Data'!$C$7</f>
        <v>29057140639.269405</v>
      </c>
    </row>
    <row r="19" spans="1:20" ht="13.8" x14ac:dyDescent="0.3">
      <c r="A19" s="4" t="s">
        <v>23</v>
      </c>
      <c r="B19" s="5">
        <v>13722</v>
      </c>
      <c r="C19" s="5">
        <v>12135</v>
      </c>
      <c r="D19" s="5">
        <v>23065</v>
      </c>
      <c r="E19" s="5">
        <v>0</v>
      </c>
      <c r="F19" s="20">
        <v>48922</v>
      </c>
      <c r="G19" s="47">
        <f t="shared" si="0"/>
        <v>5.5847031963470322</v>
      </c>
      <c r="H19" s="46">
        <f t="shared" si="1"/>
        <v>5584703.1963470317</v>
      </c>
      <c r="I19" s="50">
        <v>37.200000000000003</v>
      </c>
      <c r="J19" s="48">
        <f t="shared" si="8"/>
        <v>10705876.02739726</v>
      </c>
      <c r="K19" s="52">
        <f t="shared" si="3"/>
        <v>5584703.1963470317</v>
      </c>
      <c r="L19" s="53">
        <f t="shared" si="4"/>
        <v>5584703.1963470317</v>
      </c>
      <c r="M19" s="56">
        <f t="shared" si="5"/>
        <v>5584703.1963470317</v>
      </c>
      <c r="N19" s="57">
        <f t="shared" si="6"/>
        <v>5584703.1963470317</v>
      </c>
      <c r="O19" s="30">
        <v>1694</v>
      </c>
      <c r="P19" s="30">
        <v>1850</v>
      </c>
      <c r="Q19" s="30">
        <v>572</v>
      </c>
      <c r="R19" s="30">
        <f t="shared" si="7"/>
        <v>1822</v>
      </c>
      <c r="S19" s="58">
        <f>(J19*'Cost Data'!$C$4)+('Cost Data'!$C$5*K19)+(L19*'Cost Data'!$C$6)</f>
        <v>31661905131.963467</v>
      </c>
      <c r="T19" s="58">
        <f>M19*'Cost Data'!$C$7</f>
        <v>14363856621.004566</v>
      </c>
    </row>
    <row r="20" spans="1:20" ht="13.8" x14ac:dyDescent="0.3">
      <c r="A20" s="4" t="s">
        <v>24</v>
      </c>
      <c r="B20" s="5">
        <v>13013</v>
      </c>
      <c r="C20" s="5">
        <v>15739</v>
      </c>
      <c r="D20" s="5">
        <v>11535</v>
      </c>
      <c r="E20" s="5">
        <v>0</v>
      </c>
      <c r="F20" s="20">
        <v>40288</v>
      </c>
      <c r="G20" s="47">
        <f t="shared" si="0"/>
        <v>4.5990867579908672</v>
      </c>
      <c r="H20" s="46">
        <f t="shared" si="1"/>
        <v>4599086.7579908669</v>
      </c>
      <c r="I20" s="50">
        <v>36.1</v>
      </c>
      <c r="J20" s="48">
        <f t="shared" si="8"/>
        <v>13704818.630136983</v>
      </c>
      <c r="K20" s="52">
        <f t="shared" si="3"/>
        <v>4599086.7579908669</v>
      </c>
      <c r="L20" s="53">
        <f t="shared" si="4"/>
        <v>4599086.7579908669</v>
      </c>
      <c r="M20" s="56">
        <f t="shared" si="5"/>
        <v>4599086.7579908669</v>
      </c>
      <c r="N20" s="57">
        <f t="shared" si="6"/>
        <v>4599086.7579908669</v>
      </c>
      <c r="O20" s="30">
        <v>1694</v>
      </c>
      <c r="P20" s="30">
        <v>1850</v>
      </c>
      <c r="Q20" s="30">
        <v>572</v>
      </c>
      <c r="R20" s="30">
        <f t="shared" si="7"/>
        <v>1822</v>
      </c>
      <c r="S20" s="58">
        <f>(J20*'Cost Data'!$C$4)+('Cost Data'!$C$5*K20)+(L20*'Cost Data'!$C$6)</f>
        <v>34354950887.305931</v>
      </c>
      <c r="T20" s="58">
        <f>M20*'Cost Data'!$C$7</f>
        <v>11828851141.552509</v>
      </c>
    </row>
    <row r="21" spans="1:20" ht="13.8" x14ac:dyDescent="0.3">
      <c r="A21" s="4" t="s">
        <v>25</v>
      </c>
      <c r="B21" s="5">
        <v>24883</v>
      </c>
      <c r="C21" s="5">
        <v>19293</v>
      </c>
      <c r="D21" s="5">
        <v>28459</v>
      </c>
      <c r="E21" s="5">
        <v>0</v>
      </c>
      <c r="F21" s="20">
        <v>72634</v>
      </c>
      <c r="G21" s="47">
        <f t="shared" si="0"/>
        <v>8.2915525114155244</v>
      </c>
      <c r="H21" s="46">
        <f t="shared" si="1"/>
        <v>8291552.5114155244</v>
      </c>
      <c r="I21" s="49">
        <v>0.67</v>
      </c>
      <c r="J21" s="48">
        <f t="shared" si="8"/>
        <v>24158267.397260271</v>
      </c>
      <c r="K21" s="52">
        <f t="shared" si="3"/>
        <v>8291552.5114155244</v>
      </c>
      <c r="L21" s="53">
        <f t="shared" si="4"/>
        <v>8291552.5114155244</v>
      </c>
      <c r="M21" s="56">
        <f t="shared" si="5"/>
        <v>8291552.5114155244</v>
      </c>
      <c r="N21" s="57">
        <f t="shared" si="6"/>
        <v>8291552.5114155244</v>
      </c>
      <c r="O21" s="30">
        <v>1694</v>
      </c>
      <c r="P21" s="30">
        <v>1850</v>
      </c>
      <c r="Q21" s="30">
        <v>572</v>
      </c>
      <c r="R21" s="30">
        <f t="shared" si="7"/>
        <v>1822</v>
      </c>
      <c r="S21" s="58">
        <f>(J21*'Cost Data'!$C$4)+('Cost Data'!$C$5*K21)+(L21*'Cost Data'!$C$6)</f>
        <v>61006245153.6073</v>
      </c>
      <c r="T21" s="58">
        <f>M21*'Cost Data'!$C$7</f>
        <v>21325873059.360729</v>
      </c>
    </row>
    <row r="22" spans="1:20" ht="13.8" x14ac:dyDescent="0.3">
      <c r="A22" s="4" t="s">
        <v>26</v>
      </c>
      <c r="B22" s="5">
        <v>29532</v>
      </c>
      <c r="C22" s="5">
        <v>24500</v>
      </c>
      <c r="D22" s="5">
        <v>37161</v>
      </c>
      <c r="E22" s="5">
        <v>13</v>
      </c>
      <c r="F22" s="20">
        <v>91206</v>
      </c>
      <c r="G22" s="47">
        <f t="shared" si="0"/>
        <v>10.411643835616438</v>
      </c>
      <c r="H22" s="46">
        <f t="shared" si="1"/>
        <v>10411643.835616438</v>
      </c>
      <c r="I22" s="49">
        <v>2.88</v>
      </c>
      <c r="J22" s="48">
        <f t="shared" si="8"/>
        <v>16835628.08219178</v>
      </c>
      <c r="K22" s="52">
        <f t="shared" si="3"/>
        <v>10411643.835616438</v>
      </c>
      <c r="L22" s="53">
        <f t="shared" si="4"/>
        <v>10411643.835616438</v>
      </c>
      <c r="M22" s="56">
        <f t="shared" si="5"/>
        <v>10411643.835616438</v>
      </c>
      <c r="N22" s="57">
        <f t="shared" si="6"/>
        <v>10411643.835616438</v>
      </c>
      <c r="O22" s="30">
        <v>1694</v>
      </c>
      <c r="P22" s="30">
        <v>1850</v>
      </c>
      <c r="Q22" s="30">
        <v>572</v>
      </c>
      <c r="R22" s="30">
        <f t="shared" si="7"/>
        <v>1822</v>
      </c>
      <c r="S22" s="58">
        <f>(J22*'Cost Data'!$C$4)+('Cost Data'!$C$5*K22)+(L22*'Cost Data'!$C$6)</f>
        <v>53736555341.095894</v>
      </c>
      <c r="T22" s="58">
        <f>M22*'Cost Data'!$C$7</f>
        <v>26778747945.205479</v>
      </c>
    </row>
    <row r="23" spans="1:20" ht="13.8" x14ac:dyDescent="0.3">
      <c r="A23" s="4" t="s">
        <v>27</v>
      </c>
      <c r="B23" s="5">
        <v>4639</v>
      </c>
      <c r="C23" s="5">
        <v>3917</v>
      </c>
      <c r="D23" s="5">
        <v>2658</v>
      </c>
      <c r="E23" s="5">
        <v>0</v>
      </c>
      <c r="F23" s="20">
        <v>11214</v>
      </c>
      <c r="G23" s="47">
        <f t="shared" si="0"/>
        <v>1.2801369863013699</v>
      </c>
      <c r="H23" s="46">
        <f t="shared" si="1"/>
        <v>1280136.98630137</v>
      </c>
      <c r="I23" s="50">
        <v>46.1</v>
      </c>
      <c r="J23" s="48">
        <f t="shared" si="8"/>
        <v>3684106.2328767129</v>
      </c>
      <c r="K23" s="52">
        <f t="shared" si="3"/>
        <v>1280136.98630137</v>
      </c>
      <c r="L23" s="53">
        <f t="shared" si="4"/>
        <v>1280136.98630137</v>
      </c>
      <c r="M23" s="56">
        <f t="shared" si="5"/>
        <v>1280136.98630137</v>
      </c>
      <c r="N23" s="57">
        <f t="shared" si="6"/>
        <v>1280136.98630137</v>
      </c>
      <c r="O23" s="30">
        <v>1694</v>
      </c>
      <c r="P23" s="30">
        <v>1850</v>
      </c>
      <c r="Q23" s="30">
        <v>572</v>
      </c>
      <c r="R23" s="30">
        <f t="shared" si="7"/>
        <v>1822</v>
      </c>
      <c r="S23" s="58">
        <f>(J23*'Cost Data'!$C$4)+('Cost Data'!$C$5*K23)+(L23*'Cost Data'!$C$6)</f>
        <v>9341367739.3150692</v>
      </c>
      <c r="T23" s="58">
        <f>M23*'Cost Data'!$C$7</f>
        <v>3292512328.7671237</v>
      </c>
    </row>
    <row r="24" spans="1:20" ht="13.8" x14ac:dyDescent="0.3">
      <c r="A24" s="4" t="s">
        <v>28</v>
      </c>
      <c r="B24" s="5">
        <v>26084</v>
      </c>
      <c r="C24" s="5">
        <v>28893</v>
      </c>
      <c r="D24" s="5">
        <v>3798</v>
      </c>
      <c r="E24" s="5">
        <v>529</v>
      </c>
      <c r="F24" s="20">
        <v>59304</v>
      </c>
      <c r="G24" s="47">
        <f t="shared" si="0"/>
        <v>6.7698630136986298</v>
      </c>
      <c r="H24" s="46">
        <f t="shared" si="1"/>
        <v>6769863.01369863</v>
      </c>
      <c r="I24" s="49">
        <v>4.07</v>
      </c>
      <c r="J24" s="48">
        <f t="shared" si="8"/>
        <v>18725441.09589041</v>
      </c>
      <c r="K24" s="52">
        <f t="shared" si="3"/>
        <v>6769863.01369863</v>
      </c>
      <c r="L24" s="53">
        <f t="shared" si="4"/>
        <v>6769863.01369863</v>
      </c>
      <c r="M24" s="56">
        <f t="shared" si="5"/>
        <v>6769863.01369863</v>
      </c>
      <c r="N24" s="57">
        <f t="shared" si="6"/>
        <v>6769863.01369863</v>
      </c>
      <c r="O24" s="30">
        <v>1694</v>
      </c>
      <c r="P24" s="30">
        <v>1850</v>
      </c>
      <c r="Q24" s="30">
        <v>572</v>
      </c>
      <c r="R24" s="30">
        <f t="shared" si="7"/>
        <v>1822</v>
      </c>
      <c r="S24" s="58">
        <f>(J24*'Cost Data'!$C$4)+('Cost Data'!$C$5*K24)+(L24*'Cost Data'!$C$6)</f>
        <v>48117505435.61644</v>
      </c>
      <c r="T24" s="58">
        <f>M24*'Cost Data'!$C$7</f>
        <v>17412087671.232876</v>
      </c>
    </row>
    <row r="25" spans="1:20" ht="13.8" x14ac:dyDescent="0.3">
      <c r="A25" s="4" t="s">
        <v>29</v>
      </c>
      <c r="B25" s="5">
        <v>19338</v>
      </c>
      <c r="C25" s="5">
        <v>25968</v>
      </c>
      <c r="D25" s="5">
        <v>6859</v>
      </c>
      <c r="E25" s="5">
        <v>348</v>
      </c>
      <c r="F25" s="20">
        <v>52513</v>
      </c>
      <c r="G25" s="47">
        <f t="shared" si="0"/>
        <v>5.9946347031963469</v>
      </c>
      <c r="H25" s="46">
        <f t="shared" si="1"/>
        <v>5994634.7031963468</v>
      </c>
      <c r="I25" s="50">
        <v>7.8</v>
      </c>
      <c r="J25" s="48">
        <f t="shared" si="8"/>
        <v>16743014.726027397</v>
      </c>
      <c r="K25" s="52">
        <f t="shared" si="3"/>
        <v>5994634.7031963468</v>
      </c>
      <c r="L25" s="53">
        <f t="shared" si="4"/>
        <v>5994634.7031963468</v>
      </c>
      <c r="M25" s="56">
        <f t="shared" si="5"/>
        <v>5994634.7031963468</v>
      </c>
      <c r="N25" s="57">
        <f t="shared" si="6"/>
        <v>5994634.7031963468</v>
      </c>
      <c r="O25" s="30">
        <v>1694</v>
      </c>
      <c r="P25" s="30">
        <v>1850</v>
      </c>
      <c r="Q25" s="30">
        <v>572</v>
      </c>
      <c r="R25" s="30">
        <f t="shared" si="7"/>
        <v>1822</v>
      </c>
      <c r="S25" s="58">
        <f>(J25*'Cost Data'!$C$4)+('Cost Data'!$C$5*K25)+(L25*'Cost Data'!$C$6)</f>
        <v>42881672197.03196</v>
      </c>
      <c r="T25" s="58">
        <f>M25*'Cost Data'!$C$7</f>
        <v>15418200456.621004</v>
      </c>
    </row>
    <row r="26" spans="1:20" ht="13.8" x14ac:dyDescent="0.3">
      <c r="A26" s="4" t="s">
        <v>30</v>
      </c>
      <c r="B26" s="5">
        <v>32977</v>
      </c>
      <c r="C26" s="5">
        <v>38325</v>
      </c>
      <c r="D26" s="5">
        <v>30591</v>
      </c>
      <c r="E26" s="5">
        <v>6</v>
      </c>
      <c r="F26" s="20">
        <v>101899</v>
      </c>
      <c r="G26" s="47">
        <f t="shared" si="0"/>
        <v>11.63230593607306</v>
      </c>
      <c r="H26" s="46">
        <f t="shared" si="1"/>
        <v>11632305.936073059</v>
      </c>
      <c r="I26" s="50">
        <v>6.9</v>
      </c>
      <c r="J26" s="48">
        <f t="shared" si="8"/>
        <v>26940420.547945205</v>
      </c>
      <c r="K26" s="52">
        <f t="shared" si="3"/>
        <v>11632305.936073059</v>
      </c>
      <c r="L26" s="53">
        <f t="shared" si="4"/>
        <v>11632305.936073059</v>
      </c>
      <c r="M26" s="56">
        <f t="shared" si="5"/>
        <v>11632305.936073059</v>
      </c>
      <c r="N26" s="57">
        <f t="shared" si="6"/>
        <v>11632305.936073059</v>
      </c>
      <c r="O26" s="30">
        <v>1694</v>
      </c>
      <c r="P26" s="30">
        <v>1850</v>
      </c>
      <c r="Q26" s="30">
        <v>572</v>
      </c>
      <c r="R26" s="30">
        <f t="shared" si="7"/>
        <v>1822</v>
      </c>
      <c r="S26" s="58">
        <f>(J26*'Cost Data'!$C$4)+('Cost Data'!$C$5*K26)+(L26*'Cost Data'!$C$6)</f>
        <v>73810517385.388123</v>
      </c>
      <c r="T26" s="58">
        <f>M26*'Cost Data'!$C$7</f>
        <v>29918290867.579906</v>
      </c>
    </row>
    <row r="27" spans="1:20" ht="13.8" x14ac:dyDescent="0.3">
      <c r="A27" s="4" t="s">
        <v>31</v>
      </c>
      <c r="B27" s="5">
        <v>21574</v>
      </c>
      <c r="C27" s="5">
        <v>23274</v>
      </c>
      <c r="D27" s="5">
        <v>22281</v>
      </c>
      <c r="E27" s="5">
        <v>24</v>
      </c>
      <c r="F27" s="20">
        <v>67153</v>
      </c>
      <c r="G27" s="47">
        <f t="shared" si="0"/>
        <v>7.6658675799086762</v>
      </c>
      <c r="H27" s="46">
        <f t="shared" si="1"/>
        <v>7665867.5799086764</v>
      </c>
      <c r="I27" s="50">
        <v>22.8</v>
      </c>
      <c r="J27" s="48">
        <f t="shared" si="8"/>
        <v>22399665.06849315</v>
      </c>
      <c r="K27" s="52">
        <f t="shared" si="3"/>
        <v>7665867.5799086764</v>
      </c>
      <c r="L27" s="53">
        <f t="shared" si="4"/>
        <v>7665867.5799086764</v>
      </c>
      <c r="M27" s="56">
        <f t="shared" si="5"/>
        <v>7665867.5799086764</v>
      </c>
      <c r="N27" s="57">
        <f t="shared" si="6"/>
        <v>7665867.5799086764</v>
      </c>
      <c r="O27" s="30">
        <v>1694</v>
      </c>
      <c r="P27" s="30">
        <v>1850</v>
      </c>
      <c r="Q27" s="30">
        <v>572</v>
      </c>
      <c r="R27" s="30">
        <f t="shared" si="7"/>
        <v>1822</v>
      </c>
      <c r="S27" s="58">
        <f>(J27*'Cost Data'!$C$4)+('Cost Data'!$C$5*K27)+(L27*'Cost Data'!$C$6)</f>
        <v>56511763904.566208</v>
      </c>
      <c r="T27" s="58">
        <f>M27*'Cost Data'!$C$7</f>
        <v>19716611415.525116</v>
      </c>
    </row>
    <row r="28" spans="1:20" ht="13.8" x14ac:dyDescent="0.3">
      <c r="A28" s="4" t="s">
        <v>32</v>
      </c>
      <c r="B28" s="5">
        <v>17444</v>
      </c>
      <c r="C28" s="5">
        <v>14256</v>
      </c>
      <c r="D28" s="5">
        <v>16129</v>
      </c>
      <c r="E28" s="5">
        <v>0</v>
      </c>
      <c r="F28" s="20">
        <v>47829</v>
      </c>
      <c r="G28" s="47">
        <f t="shared" si="0"/>
        <v>5.4599315068493155</v>
      </c>
      <c r="H28" s="46">
        <f t="shared" si="1"/>
        <v>5459931.5068493159</v>
      </c>
      <c r="I28" s="49">
        <v>2.6</v>
      </c>
      <c r="J28" s="48">
        <f t="shared" si="8"/>
        <v>15958833.801369864</v>
      </c>
      <c r="K28" s="52">
        <f t="shared" si="3"/>
        <v>5459931.5068493159</v>
      </c>
      <c r="L28" s="53">
        <f t="shared" si="4"/>
        <v>5459931.5068493159</v>
      </c>
      <c r="M28" s="56">
        <f t="shared" si="5"/>
        <v>5459931.5068493159</v>
      </c>
      <c r="N28" s="57">
        <f t="shared" si="6"/>
        <v>5459931.5068493159</v>
      </c>
      <c r="O28" s="30">
        <v>1694</v>
      </c>
      <c r="P28" s="30">
        <v>1850</v>
      </c>
      <c r="Q28" s="30">
        <v>572</v>
      </c>
      <c r="R28" s="30">
        <f t="shared" si="7"/>
        <v>1822</v>
      </c>
      <c r="S28" s="58">
        <f>(J28*'Cost Data'!$C$4)+('Cost Data'!$C$5*K28)+(L28*'Cost Data'!$C$6)</f>
        <v>40258218569.109596</v>
      </c>
      <c r="T28" s="58">
        <f>M28*'Cost Data'!$C$7</f>
        <v>14042943835.61644</v>
      </c>
    </row>
    <row r="29" spans="1:20" ht="13.8" x14ac:dyDescent="0.3">
      <c r="A29" s="4" t="s">
        <v>33</v>
      </c>
      <c r="B29" s="5">
        <v>33051</v>
      </c>
      <c r="C29" s="5">
        <v>30177</v>
      </c>
      <c r="D29" s="5">
        <v>13211</v>
      </c>
      <c r="E29" s="5">
        <v>23</v>
      </c>
      <c r="F29" s="20">
        <v>76461</v>
      </c>
      <c r="G29" s="47">
        <f t="shared" si="0"/>
        <v>8.7284246575342461</v>
      </c>
      <c r="H29" s="46">
        <f t="shared" si="1"/>
        <v>8728424.6575342454</v>
      </c>
      <c r="I29" s="49">
        <v>2.57</v>
      </c>
      <c r="J29" s="48">
        <f t="shared" si="8"/>
        <v>24142822.602739722</v>
      </c>
      <c r="K29" s="52">
        <f t="shared" si="3"/>
        <v>8728424.6575342454</v>
      </c>
      <c r="L29" s="53">
        <f t="shared" si="4"/>
        <v>8728424.6575342454</v>
      </c>
      <c r="M29" s="56">
        <f t="shared" si="5"/>
        <v>8728424.6575342454</v>
      </c>
      <c r="N29" s="57">
        <f t="shared" si="6"/>
        <v>8728424.6575342454</v>
      </c>
      <c r="O29" s="30">
        <v>1694</v>
      </c>
      <c r="P29" s="30">
        <v>1850</v>
      </c>
      <c r="Q29" s="30">
        <v>572</v>
      </c>
      <c r="R29" s="30">
        <f t="shared" si="7"/>
        <v>1822</v>
      </c>
      <c r="S29" s="58">
        <f>(J29*'Cost Data'!$C$4)+('Cost Data'!$C$5*K29)+(L29*'Cost Data'!$C$6)</f>
        <v>62038186009.589035</v>
      </c>
      <c r="T29" s="58">
        <f>M29*'Cost Data'!$C$7</f>
        <v>22449508219.178078</v>
      </c>
    </row>
    <row r="30" spans="1:20" ht="13.8" x14ac:dyDescent="0.3">
      <c r="A30" s="4" t="s">
        <v>34</v>
      </c>
      <c r="B30" s="5">
        <v>5225</v>
      </c>
      <c r="C30" s="5">
        <v>4970</v>
      </c>
      <c r="D30" s="5">
        <v>4515</v>
      </c>
      <c r="E30" s="5">
        <v>0</v>
      </c>
      <c r="F30" s="20">
        <v>14710</v>
      </c>
      <c r="G30" s="47">
        <f t="shared" si="0"/>
        <v>1.6792237442922375</v>
      </c>
      <c r="H30" s="46">
        <f t="shared" si="1"/>
        <v>1679223.7442922376</v>
      </c>
      <c r="I30" s="50">
        <v>7.8</v>
      </c>
      <c r="J30" s="48">
        <f t="shared" si="8"/>
        <v>4287058.2191780824</v>
      </c>
      <c r="K30" s="52">
        <f t="shared" si="3"/>
        <v>1679223.7442922376</v>
      </c>
      <c r="L30" s="53">
        <f t="shared" si="4"/>
        <v>1679223.7442922376</v>
      </c>
      <c r="M30" s="56">
        <f t="shared" si="5"/>
        <v>1679223.7442922376</v>
      </c>
      <c r="N30" s="57">
        <f t="shared" si="6"/>
        <v>1679223.7442922376</v>
      </c>
      <c r="O30" s="30">
        <v>1694</v>
      </c>
      <c r="P30" s="30">
        <v>1850</v>
      </c>
      <c r="Q30" s="30">
        <v>572</v>
      </c>
      <c r="R30" s="30">
        <f t="shared" si="7"/>
        <v>1822</v>
      </c>
      <c r="S30" s="58">
        <f>(J30*'Cost Data'!$C$4)+('Cost Data'!$C$5*K30)+(L30*'Cost Data'!$C$6)</f>
        <v>11329356531.96347</v>
      </c>
      <c r="T30" s="58">
        <f>M30*'Cost Data'!$C$7</f>
        <v>4318963470.3196354</v>
      </c>
    </row>
    <row r="31" spans="1:20" ht="13.8" x14ac:dyDescent="0.3">
      <c r="A31" s="4" t="s">
        <v>35</v>
      </c>
      <c r="B31" s="5">
        <v>9668</v>
      </c>
      <c r="C31" s="5">
        <v>9293</v>
      </c>
      <c r="D31" s="5">
        <v>11398</v>
      </c>
      <c r="E31" s="5">
        <v>0</v>
      </c>
      <c r="F31" s="20">
        <v>30359</v>
      </c>
      <c r="G31" s="47">
        <f t="shared" si="0"/>
        <v>3.4656392694063927</v>
      </c>
      <c r="H31" s="46">
        <f t="shared" si="1"/>
        <v>3465639.2694063927</v>
      </c>
      <c r="I31" s="50">
        <v>14.9</v>
      </c>
      <c r="J31" s="48">
        <f t="shared" si="8"/>
        <v>8307137.3287671227</v>
      </c>
      <c r="K31" s="52">
        <f t="shared" si="3"/>
        <v>3465639.2694063927</v>
      </c>
      <c r="L31" s="53">
        <f t="shared" si="4"/>
        <v>3465639.2694063927</v>
      </c>
      <c r="M31" s="56">
        <f t="shared" si="5"/>
        <v>3465639.2694063927</v>
      </c>
      <c r="N31" s="57">
        <f t="shared" si="6"/>
        <v>3465639.2694063927</v>
      </c>
      <c r="O31" s="30">
        <v>1694</v>
      </c>
      <c r="P31" s="30">
        <v>1850</v>
      </c>
      <c r="Q31" s="30">
        <v>572</v>
      </c>
      <c r="R31" s="30">
        <f t="shared" si="7"/>
        <v>1822</v>
      </c>
      <c r="S31" s="58">
        <f>(J31*'Cost Data'!$C$4)+('Cost Data'!$C$5*K31)+(L31*'Cost Data'!$C$6)</f>
        <v>22466068945.433788</v>
      </c>
      <c r="T31" s="58">
        <f>M31*'Cost Data'!$C$7</f>
        <v>8913624200.9132423</v>
      </c>
    </row>
    <row r="32" spans="1:20" ht="13.8" x14ac:dyDescent="0.3">
      <c r="A32" s="4" t="s">
        <v>36</v>
      </c>
      <c r="B32" s="5">
        <v>12937</v>
      </c>
      <c r="C32" s="5">
        <v>11123</v>
      </c>
      <c r="D32" s="5">
        <v>12590</v>
      </c>
      <c r="E32" s="5">
        <v>9</v>
      </c>
      <c r="F32" s="20">
        <v>36658</v>
      </c>
      <c r="G32" s="47">
        <f t="shared" si="0"/>
        <v>4.1847031963470318</v>
      </c>
      <c r="H32" s="46">
        <f t="shared" si="1"/>
        <v>4184703.1963470317</v>
      </c>
      <c r="I32" s="50">
        <v>20.100000000000001</v>
      </c>
      <c r="J32" s="48">
        <f t="shared" si="8"/>
        <v>10984845.890410958</v>
      </c>
      <c r="K32" s="52">
        <f t="shared" si="3"/>
        <v>4184703.1963470317</v>
      </c>
      <c r="L32" s="53">
        <f t="shared" si="4"/>
        <v>4184703.1963470317</v>
      </c>
      <c r="M32" s="56">
        <f t="shared" si="5"/>
        <v>4184703.1963470317</v>
      </c>
      <c r="N32" s="57">
        <f t="shared" si="6"/>
        <v>4184703.1963470317</v>
      </c>
      <c r="O32" s="30">
        <v>1694</v>
      </c>
      <c r="P32" s="30">
        <v>1850</v>
      </c>
      <c r="Q32" s="30">
        <v>572</v>
      </c>
      <c r="R32" s="30">
        <f t="shared" si="7"/>
        <v>1822</v>
      </c>
      <c r="S32" s="58">
        <f>(J32*'Cost Data'!$C$4)+('Cost Data'!$C$5*K32)+(L32*'Cost Data'!$C$6)</f>
        <v>28743680079.908672</v>
      </c>
      <c r="T32" s="58">
        <f>M32*'Cost Data'!$C$7</f>
        <v>10763056621.004566</v>
      </c>
    </row>
    <row r="33" spans="1:20" ht="13.8" x14ac:dyDescent="0.3">
      <c r="A33" s="4" t="s">
        <v>37</v>
      </c>
      <c r="B33" s="5">
        <v>4441</v>
      </c>
      <c r="C33" s="5">
        <v>4390</v>
      </c>
      <c r="D33" s="5">
        <v>1956</v>
      </c>
      <c r="E33" s="5">
        <v>0</v>
      </c>
      <c r="F33" s="20">
        <v>10787</v>
      </c>
      <c r="G33" s="47">
        <f t="shared" si="0"/>
        <v>1.231392694063927</v>
      </c>
      <c r="H33" s="46">
        <f t="shared" si="1"/>
        <v>1231392.694063927</v>
      </c>
      <c r="I33" s="50">
        <v>12.5</v>
      </c>
      <c r="J33" s="48">
        <f t="shared" si="8"/>
        <v>3588894.0068493155</v>
      </c>
      <c r="K33" s="52">
        <f t="shared" si="3"/>
        <v>1231392.694063927</v>
      </c>
      <c r="L33" s="53">
        <f t="shared" si="4"/>
        <v>1231392.694063927</v>
      </c>
      <c r="M33" s="56">
        <f t="shared" si="5"/>
        <v>1231392.694063927</v>
      </c>
      <c r="N33" s="57">
        <f t="shared" si="6"/>
        <v>1231392.694063927</v>
      </c>
      <c r="O33" s="30">
        <v>1694</v>
      </c>
      <c r="P33" s="30">
        <v>1850</v>
      </c>
      <c r="Q33" s="30">
        <v>572</v>
      </c>
      <c r="R33" s="30">
        <f t="shared" si="7"/>
        <v>1822</v>
      </c>
      <c r="S33" s="58">
        <f>(J33*'Cost Data'!$C$4)+('Cost Data'!$C$5*K33)+(L33*'Cost Data'!$C$6)</f>
        <v>9062019552.6255722</v>
      </c>
      <c r="T33" s="58">
        <f>M33*'Cost Data'!$C$7</f>
        <v>3167142009.1324205</v>
      </c>
    </row>
    <row r="34" spans="1:20" ht="13.8" x14ac:dyDescent="0.3">
      <c r="A34" s="4" t="s">
        <v>38</v>
      </c>
      <c r="B34" s="5">
        <v>27762</v>
      </c>
      <c r="C34" s="5">
        <v>37971</v>
      </c>
      <c r="D34" s="5">
        <v>7343</v>
      </c>
      <c r="E34" s="5">
        <v>307</v>
      </c>
      <c r="F34" s="20">
        <v>73383</v>
      </c>
      <c r="G34" s="47">
        <f t="shared" si="0"/>
        <v>8.3770547945205482</v>
      </c>
      <c r="H34" s="46">
        <f t="shared" si="1"/>
        <v>8377054.7945205485</v>
      </c>
      <c r="I34" s="49">
        <v>2.85</v>
      </c>
      <c r="J34" s="48">
        <f t="shared" si="8"/>
        <v>20883997.602739729</v>
      </c>
      <c r="K34" s="52">
        <f t="shared" si="3"/>
        <v>8377054.7945205485</v>
      </c>
      <c r="L34" s="53">
        <f t="shared" si="4"/>
        <v>8377054.7945205485</v>
      </c>
      <c r="M34" s="56">
        <f t="shared" si="5"/>
        <v>8377054.7945205485</v>
      </c>
      <c r="N34" s="57">
        <f t="shared" si="6"/>
        <v>8377054.7945205485</v>
      </c>
      <c r="O34" s="30">
        <v>1694</v>
      </c>
      <c r="P34" s="30">
        <v>1850</v>
      </c>
      <c r="Q34" s="30">
        <v>572</v>
      </c>
      <c r="R34" s="30">
        <f t="shared" si="7"/>
        <v>1822</v>
      </c>
      <c r="S34" s="58">
        <f>(J34*'Cost Data'!$C$4)+('Cost Data'!$C$5*K34)+(L34*'Cost Data'!$C$6)</f>
        <v>55666718651.369865</v>
      </c>
      <c r="T34" s="58">
        <f>M34*'Cost Data'!$C$7</f>
        <v>21545784931.506851</v>
      </c>
    </row>
    <row r="35" spans="1:20" ht="13.8" x14ac:dyDescent="0.3">
      <c r="A35" s="4" t="s">
        <v>39</v>
      </c>
      <c r="B35" s="5">
        <v>6497</v>
      </c>
      <c r="C35" s="5">
        <v>8784</v>
      </c>
      <c r="D35" s="5">
        <v>7728</v>
      </c>
      <c r="E35" s="5">
        <v>0</v>
      </c>
      <c r="F35" s="20">
        <v>23010</v>
      </c>
      <c r="G35" s="47">
        <f t="shared" si="0"/>
        <v>2.6267123287671232</v>
      </c>
      <c r="H35" s="46">
        <f t="shared" si="1"/>
        <v>2626712.3287671232</v>
      </c>
      <c r="I35" s="50">
        <v>16.899999999999999</v>
      </c>
      <c r="J35" s="48">
        <f t="shared" si="8"/>
        <v>7486130.1369863003</v>
      </c>
      <c r="K35" s="52">
        <f t="shared" si="3"/>
        <v>2626712.3287671232</v>
      </c>
      <c r="L35" s="53">
        <f t="shared" si="4"/>
        <v>2626712.3287671232</v>
      </c>
      <c r="M35" s="56">
        <f t="shared" si="5"/>
        <v>2626712.3287671232</v>
      </c>
      <c r="N35" s="57">
        <f t="shared" si="6"/>
        <v>2626712.3287671232</v>
      </c>
      <c r="O35" s="30">
        <v>1694</v>
      </c>
      <c r="P35" s="30">
        <v>1850</v>
      </c>
      <c r="Q35" s="30">
        <v>572</v>
      </c>
      <c r="R35" s="30">
        <f t="shared" si="7"/>
        <v>1822</v>
      </c>
      <c r="S35" s="58">
        <f>(J35*'Cost Data'!$C$4)+('Cost Data'!$C$5*K35)+(L35*'Cost Data'!$C$6)</f>
        <v>19043401712.328766</v>
      </c>
      <c r="T35" s="58">
        <f>M35*'Cost Data'!$C$7</f>
        <v>6755904109.5890408</v>
      </c>
    </row>
    <row r="36" spans="1:20" ht="13.8" x14ac:dyDescent="0.3">
      <c r="A36" s="4" t="s">
        <v>40</v>
      </c>
      <c r="B36" s="5">
        <v>49081</v>
      </c>
      <c r="C36" s="5">
        <v>75333</v>
      </c>
      <c r="D36" s="5">
        <v>17811</v>
      </c>
      <c r="E36" s="5">
        <v>2767</v>
      </c>
      <c r="F36" s="20">
        <v>144992</v>
      </c>
      <c r="G36" s="47">
        <f t="shared" si="0"/>
        <v>16.551598173515981</v>
      </c>
      <c r="H36" s="46">
        <f t="shared" si="1"/>
        <v>16551598.173515981</v>
      </c>
      <c r="I36" s="50">
        <v>5</v>
      </c>
      <c r="J36" s="48">
        <f t="shared" si="8"/>
        <v>46377578.08219178</v>
      </c>
      <c r="K36" s="52">
        <f t="shared" si="3"/>
        <v>16551598.173515981</v>
      </c>
      <c r="L36" s="53">
        <f t="shared" si="4"/>
        <v>16551598.173515981</v>
      </c>
      <c r="M36" s="56">
        <f t="shared" si="5"/>
        <v>16551598.173515981</v>
      </c>
      <c r="N36" s="57">
        <f t="shared" si="6"/>
        <v>16551598.173515981</v>
      </c>
      <c r="O36" s="30">
        <v>1694</v>
      </c>
      <c r="P36" s="30">
        <v>1850</v>
      </c>
      <c r="Q36" s="30">
        <v>572</v>
      </c>
      <c r="R36" s="30">
        <f t="shared" si="7"/>
        <v>1822</v>
      </c>
      <c r="S36" s="58">
        <f>(J36*'Cost Data'!$C$4)+('Cost Data'!$C$5*K36)+(L36*'Cost Data'!$C$6)</f>
        <v>118651588047.48859</v>
      </c>
      <c r="T36" s="58">
        <f>M36*'Cost Data'!$C$7</f>
        <v>42570710502.283104</v>
      </c>
    </row>
    <row r="37" spans="1:20" ht="13.8" x14ac:dyDescent="0.3">
      <c r="A37" s="4" t="s">
        <v>41</v>
      </c>
      <c r="B37" s="5">
        <v>56134</v>
      </c>
      <c r="C37" s="5">
        <v>47890</v>
      </c>
      <c r="D37" s="5">
        <v>27393</v>
      </c>
      <c r="E37" s="5">
        <v>4</v>
      </c>
      <c r="F37" s="20">
        <v>131421</v>
      </c>
      <c r="G37" s="47">
        <f t="shared" si="0"/>
        <v>15.002397260273973</v>
      </c>
      <c r="H37" s="46">
        <f t="shared" si="1"/>
        <v>15002397.260273973</v>
      </c>
      <c r="I37" s="50">
        <v>6.6</v>
      </c>
      <c r="J37" s="48">
        <f t="shared" si="8"/>
        <v>32900257.191780824</v>
      </c>
      <c r="K37" s="52">
        <f t="shared" si="3"/>
        <v>15002397.260273973</v>
      </c>
      <c r="L37" s="53">
        <f t="shared" si="4"/>
        <v>15002397.260273973</v>
      </c>
      <c r="M37" s="56">
        <f t="shared" si="5"/>
        <v>15002397.260273973</v>
      </c>
      <c r="N37" s="57">
        <f t="shared" si="6"/>
        <v>15002397.260273973</v>
      </c>
      <c r="O37" s="30">
        <v>1694</v>
      </c>
      <c r="P37" s="30">
        <v>1850</v>
      </c>
      <c r="Q37" s="30">
        <v>572</v>
      </c>
      <c r="R37" s="30">
        <f t="shared" si="7"/>
        <v>1822</v>
      </c>
      <c r="S37" s="58">
        <f>(J37*'Cost Data'!$C$4)+('Cost Data'!$C$5*K37)+(L37*'Cost Data'!$C$6)</f>
        <v>92068841847.260269</v>
      </c>
      <c r="T37" s="58">
        <f>M37*'Cost Data'!$C$7</f>
        <v>38586165753.42466</v>
      </c>
    </row>
    <row r="38" spans="1:20" ht="13.8" x14ac:dyDescent="0.3">
      <c r="A38" s="4" t="s">
        <v>42</v>
      </c>
      <c r="B38" s="5">
        <v>4848</v>
      </c>
      <c r="C38" s="5">
        <v>6530</v>
      </c>
      <c r="D38" s="5">
        <v>8762</v>
      </c>
      <c r="E38" s="5">
        <v>0</v>
      </c>
      <c r="F38" s="20">
        <v>20140</v>
      </c>
      <c r="G38" s="47">
        <f t="shared" si="0"/>
        <v>2.2990867579908674</v>
      </c>
      <c r="H38" s="46">
        <f t="shared" si="1"/>
        <v>2299086.7579908674</v>
      </c>
      <c r="I38" s="50">
        <v>26.9</v>
      </c>
      <c r="J38" s="48">
        <f t="shared" si="8"/>
        <v>6757935.6164383553</v>
      </c>
      <c r="K38" s="52">
        <f t="shared" si="3"/>
        <v>2299086.7579908674</v>
      </c>
      <c r="L38" s="53">
        <f t="shared" si="4"/>
        <v>2299086.7579908674</v>
      </c>
      <c r="M38" s="56">
        <f t="shared" si="5"/>
        <v>2299086.7579908674</v>
      </c>
      <c r="N38" s="57">
        <f t="shared" si="6"/>
        <v>2299086.7579908674</v>
      </c>
      <c r="O38" s="30">
        <v>1694</v>
      </c>
      <c r="P38" s="30">
        <v>1850</v>
      </c>
      <c r="Q38" s="30">
        <v>572</v>
      </c>
      <c r="R38" s="30">
        <f t="shared" si="7"/>
        <v>1822</v>
      </c>
      <c r="S38" s="58">
        <f>(J38*'Cost Data'!$C$4)+('Cost Data'!$C$5*K38)+(L38*'Cost Data'!$C$6)</f>
        <v>17016331062.100454</v>
      </c>
      <c r="T38" s="58">
        <f>M38*'Cost Data'!$C$7</f>
        <v>5913251141.5525112</v>
      </c>
    </row>
    <row r="39" spans="1:20" ht="13.8" x14ac:dyDescent="0.3">
      <c r="A39" s="4" t="s">
        <v>43</v>
      </c>
      <c r="B39" s="5">
        <v>49796</v>
      </c>
      <c r="C39" s="5">
        <v>46158</v>
      </c>
      <c r="D39" s="5">
        <v>50651</v>
      </c>
      <c r="E39" s="5">
        <v>39</v>
      </c>
      <c r="F39" s="20">
        <v>146644</v>
      </c>
      <c r="G39" s="47">
        <f t="shared" si="0"/>
        <v>16.740182648401827</v>
      </c>
      <c r="H39" s="46">
        <f t="shared" si="1"/>
        <v>16740182.648401827</v>
      </c>
      <c r="I39" s="49">
        <v>2.02</v>
      </c>
      <c r="J39" s="48">
        <f t="shared" si="8"/>
        <v>33999310.958904117</v>
      </c>
      <c r="K39" s="52">
        <f t="shared" si="3"/>
        <v>16740182.648401827</v>
      </c>
      <c r="L39" s="53">
        <f t="shared" si="4"/>
        <v>16740182.648401827</v>
      </c>
      <c r="M39" s="56">
        <f t="shared" si="5"/>
        <v>16740182.648401827</v>
      </c>
      <c r="N39" s="57">
        <f t="shared" si="6"/>
        <v>16740182.648401827</v>
      </c>
      <c r="O39" s="30">
        <v>1694</v>
      </c>
      <c r="P39" s="30">
        <v>1850</v>
      </c>
      <c r="Q39" s="30">
        <v>572</v>
      </c>
      <c r="R39" s="30">
        <f t="shared" si="7"/>
        <v>1822</v>
      </c>
      <c r="S39" s="58">
        <f>(J39*'Cost Data'!$C$4)+('Cost Data'!$C$5*K39)+(L39*'Cost Data'!$C$6)</f>
        <v>98139555138.812805</v>
      </c>
      <c r="T39" s="58">
        <f>M39*'Cost Data'!$C$7</f>
        <v>43055749771.689499</v>
      </c>
    </row>
    <row r="40" spans="1:20" ht="13.8" x14ac:dyDescent="0.3">
      <c r="A40" s="4" t="s">
        <v>44</v>
      </c>
      <c r="B40" s="5">
        <v>21838</v>
      </c>
      <c r="C40" s="5">
        <v>20499</v>
      </c>
      <c r="D40" s="5">
        <v>18156</v>
      </c>
      <c r="E40" s="5">
        <v>0</v>
      </c>
      <c r="F40" s="20">
        <v>60492</v>
      </c>
      <c r="G40" s="47">
        <f t="shared" si="0"/>
        <v>6.9054794520547942</v>
      </c>
      <c r="H40" s="46">
        <f t="shared" si="1"/>
        <v>6905479.4520547939</v>
      </c>
      <c r="I40" s="51">
        <v>32.299999999999997</v>
      </c>
      <c r="J40" s="48">
        <f t="shared" si="8"/>
        <v>17899002.739726026</v>
      </c>
      <c r="K40" s="52">
        <f t="shared" si="3"/>
        <v>6905479.4520547939</v>
      </c>
      <c r="L40" s="53">
        <f t="shared" si="4"/>
        <v>6905479.4520547939</v>
      </c>
      <c r="M40" s="56">
        <f t="shared" si="5"/>
        <v>6905479.4520547939</v>
      </c>
      <c r="N40" s="57">
        <f t="shared" si="6"/>
        <v>6905479.4520547939</v>
      </c>
      <c r="O40" s="30">
        <v>1694</v>
      </c>
      <c r="P40" s="30">
        <v>1850</v>
      </c>
      <c r="Q40" s="30">
        <v>572</v>
      </c>
      <c r="R40" s="30">
        <f t="shared" si="7"/>
        <v>1822</v>
      </c>
      <c r="S40" s="58">
        <f>(J40*'Cost Data'!$C$4)+('Cost Data'!$C$5*K40)+(L40*'Cost Data'!$C$6)</f>
        <v>47045981873.972595</v>
      </c>
      <c r="T40" s="58">
        <f>M40*'Cost Data'!$C$7</f>
        <v>17760893150.684929</v>
      </c>
    </row>
    <row r="41" spans="1:20" ht="13.8" x14ac:dyDescent="0.3">
      <c r="A41" s="4" t="s">
        <v>45</v>
      </c>
      <c r="B41" s="5">
        <v>20066</v>
      </c>
      <c r="C41" s="5">
        <v>16571</v>
      </c>
      <c r="D41" s="5">
        <v>13382</v>
      </c>
      <c r="E41" s="5">
        <v>25</v>
      </c>
      <c r="F41" s="20">
        <v>50044</v>
      </c>
      <c r="G41" s="47">
        <f t="shared" si="0"/>
        <v>5.7127853881278536</v>
      </c>
      <c r="H41" s="46">
        <f t="shared" si="1"/>
        <v>5712785.3881278541</v>
      </c>
      <c r="I41" s="50">
        <v>13.6</v>
      </c>
      <c r="J41" s="48">
        <f t="shared" si="8"/>
        <v>16625919.315068493</v>
      </c>
      <c r="K41" s="52">
        <f t="shared" si="3"/>
        <v>5712785.3881278541</v>
      </c>
      <c r="L41" s="53">
        <f t="shared" si="4"/>
        <v>5712785.3881278541</v>
      </c>
      <c r="M41" s="56">
        <f t="shared" si="5"/>
        <v>5712785.3881278541</v>
      </c>
      <c r="N41" s="57">
        <f t="shared" si="6"/>
        <v>5712785.3881278541</v>
      </c>
      <c r="O41" s="30">
        <v>1694</v>
      </c>
      <c r="P41" s="30">
        <v>1850</v>
      </c>
      <c r="Q41" s="30">
        <v>572</v>
      </c>
      <c r="R41" s="30">
        <f t="shared" si="7"/>
        <v>1822</v>
      </c>
      <c r="S41" s="58">
        <f>(J41*'Cost Data'!$C$4)+('Cost Data'!$C$5*K41)+(L41*'Cost Data'!$C$6)</f>
        <v>42000673529.77169</v>
      </c>
      <c r="T41" s="58">
        <f>M41*'Cost Data'!$C$7</f>
        <v>14693284018.264841</v>
      </c>
    </row>
    <row r="42" spans="1:20" ht="13.8" x14ac:dyDescent="0.3">
      <c r="A42" s="4" t="s">
        <v>46</v>
      </c>
      <c r="B42" s="5">
        <v>51724</v>
      </c>
      <c r="C42" s="5">
        <v>42623</v>
      </c>
      <c r="D42" s="5">
        <v>47889</v>
      </c>
      <c r="E42" s="5">
        <v>755</v>
      </c>
      <c r="F42" s="20">
        <v>142991</v>
      </c>
      <c r="G42" s="47">
        <f t="shared" si="0"/>
        <v>16.323173515981736</v>
      </c>
      <c r="H42" s="46">
        <f t="shared" si="1"/>
        <v>16323173.515981736</v>
      </c>
      <c r="I42" s="49">
        <v>2.99</v>
      </c>
      <c r="J42" s="48">
        <f t="shared" si="8"/>
        <v>45443715.06849315</v>
      </c>
      <c r="K42" s="52">
        <f t="shared" si="3"/>
        <v>16323173.515981736</v>
      </c>
      <c r="L42" s="53">
        <f t="shared" si="4"/>
        <v>16323173.515981736</v>
      </c>
      <c r="M42" s="56">
        <f t="shared" si="5"/>
        <v>16323173.515981736</v>
      </c>
      <c r="N42" s="57">
        <f t="shared" si="6"/>
        <v>16323173.515981736</v>
      </c>
      <c r="O42" s="30">
        <v>1694</v>
      </c>
      <c r="P42" s="30">
        <v>1850</v>
      </c>
      <c r="Q42" s="30">
        <v>572</v>
      </c>
      <c r="R42" s="30">
        <f t="shared" si="7"/>
        <v>1822</v>
      </c>
      <c r="S42" s="58">
        <f>(J42*'Cost Data'!$C$4)+('Cost Data'!$C$5*K42)+(L42*'Cost Data'!$C$6)</f>
        <v>116516379581.73515</v>
      </c>
      <c r="T42" s="58">
        <f>M42*'Cost Data'!$C$7</f>
        <v>41983202283.105026</v>
      </c>
    </row>
    <row r="43" spans="1:20" ht="13.8" x14ac:dyDescent="0.3">
      <c r="A43" s="4" t="s">
        <v>47</v>
      </c>
      <c r="B43" s="5">
        <v>3028</v>
      </c>
      <c r="C43" s="5">
        <v>3603</v>
      </c>
      <c r="D43" s="5">
        <v>726</v>
      </c>
      <c r="E43" s="5">
        <v>28</v>
      </c>
      <c r="F43" s="20">
        <v>7385</v>
      </c>
      <c r="G43" s="47">
        <f t="shared" si="0"/>
        <v>0.84303652968036524</v>
      </c>
      <c r="H43" s="46">
        <f t="shared" si="1"/>
        <v>843036.52968036523</v>
      </c>
      <c r="I43" s="50">
        <v>7.2</v>
      </c>
      <c r="J43" s="48">
        <f t="shared" si="8"/>
        <v>2453489.2123287669</v>
      </c>
      <c r="K43" s="52">
        <f t="shared" si="3"/>
        <v>843036.52968036523</v>
      </c>
      <c r="L43" s="53">
        <f t="shared" si="4"/>
        <v>843036.52968036523</v>
      </c>
      <c r="M43" s="56">
        <f t="shared" si="5"/>
        <v>843036.52968036523</v>
      </c>
      <c r="N43" s="57">
        <f t="shared" si="6"/>
        <v>843036.52968036523</v>
      </c>
      <c r="O43" s="30">
        <v>1694</v>
      </c>
      <c r="P43" s="30">
        <v>1850</v>
      </c>
      <c r="Q43" s="30">
        <v>572</v>
      </c>
      <c r="R43" s="30">
        <f t="shared" si="7"/>
        <v>1822</v>
      </c>
      <c r="S43" s="58">
        <f>(J43*'Cost Data'!$C$4)+('Cost Data'!$C$5*K43)+(L43*'Cost Data'!$C$6)</f>
        <v>6198045200.570776</v>
      </c>
      <c r="T43" s="58">
        <f>M43*'Cost Data'!$C$7</f>
        <v>2168289954.3378992</v>
      </c>
    </row>
    <row r="44" spans="1:20" ht="13.8" x14ac:dyDescent="0.3">
      <c r="A44" s="4" t="s">
        <v>48</v>
      </c>
      <c r="B44" s="5">
        <v>29225</v>
      </c>
      <c r="C44" s="5">
        <v>21758</v>
      </c>
      <c r="D44" s="5">
        <v>27114</v>
      </c>
      <c r="E44" s="5">
        <v>0</v>
      </c>
      <c r="F44" s="20">
        <v>78097</v>
      </c>
      <c r="G44" s="47">
        <f t="shared" si="0"/>
        <v>8.9151826484018262</v>
      </c>
      <c r="H44" s="46">
        <f t="shared" si="1"/>
        <v>8915182.6484018266</v>
      </c>
      <c r="I44" s="49">
        <v>2.99</v>
      </c>
      <c r="J44" s="48">
        <f t="shared" si="8"/>
        <v>18668392.465753429</v>
      </c>
      <c r="K44" s="52">
        <f t="shared" si="3"/>
        <v>8915182.6484018266</v>
      </c>
      <c r="L44" s="53">
        <f t="shared" si="4"/>
        <v>8915182.6484018266</v>
      </c>
      <c r="M44" s="56">
        <f t="shared" si="5"/>
        <v>8915182.6484018266</v>
      </c>
      <c r="N44" s="57">
        <f t="shared" si="6"/>
        <v>8915182.6484018266</v>
      </c>
      <c r="O44" s="30">
        <v>1694</v>
      </c>
      <c r="P44" s="30">
        <v>1850</v>
      </c>
      <c r="Q44" s="30">
        <v>572</v>
      </c>
      <c r="R44" s="30">
        <f t="shared" si="7"/>
        <v>1822</v>
      </c>
      <c r="S44" s="58">
        <f>(J44*'Cost Data'!$C$4)+('Cost Data'!$C$5*K44)+(L44*'Cost Data'!$C$6)</f>
        <v>53216829211.415527</v>
      </c>
      <c r="T44" s="58">
        <f>M44*'Cost Data'!$C$7</f>
        <v>22929849771.689499</v>
      </c>
    </row>
    <row r="45" spans="1:20" ht="13.8" x14ac:dyDescent="0.3">
      <c r="A45" s="4" t="s">
        <v>49</v>
      </c>
      <c r="B45" s="5">
        <v>4653</v>
      </c>
      <c r="C45" s="5">
        <v>4723</v>
      </c>
      <c r="D45" s="5">
        <v>2938</v>
      </c>
      <c r="E45" s="5">
        <v>0</v>
      </c>
      <c r="F45" s="20">
        <v>12314</v>
      </c>
      <c r="G45" s="47">
        <f t="shared" si="0"/>
        <v>1.4057077625570775</v>
      </c>
      <c r="H45" s="46">
        <f t="shared" si="1"/>
        <v>1405707.7625570775</v>
      </c>
      <c r="I45" s="50">
        <v>30.2</v>
      </c>
      <c r="J45" s="48">
        <f t="shared" si="8"/>
        <v>4157240.1369863008</v>
      </c>
      <c r="K45" s="52">
        <f t="shared" si="3"/>
        <v>1405707.7625570775</v>
      </c>
      <c r="L45" s="53">
        <f t="shared" si="4"/>
        <v>1405707.7625570775</v>
      </c>
      <c r="M45" s="56">
        <f t="shared" si="5"/>
        <v>1405707.7625570775</v>
      </c>
      <c r="N45" s="57">
        <f t="shared" si="6"/>
        <v>1405707.7625570775</v>
      </c>
      <c r="O45" s="30">
        <v>1694</v>
      </c>
      <c r="P45" s="30">
        <v>1850</v>
      </c>
      <c r="Q45" s="30">
        <v>572</v>
      </c>
      <c r="R45" s="30">
        <f t="shared" si="7"/>
        <v>1822</v>
      </c>
      <c r="S45" s="58">
        <f>(J45*'Cost Data'!$C$4)+('Cost Data'!$C$5*K45)+(L45*'Cost Data'!$C$6)</f>
        <v>10446988992.968035</v>
      </c>
      <c r="T45" s="58">
        <f>M45*'Cost Data'!$C$7</f>
        <v>3615480365.296803</v>
      </c>
    </row>
    <row r="46" spans="1:20" ht="13.8" x14ac:dyDescent="0.3">
      <c r="A46" s="4" t="s">
        <v>50</v>
      </c>
      <c r="B46" s="5">
        <v>39293</v>
      </c>
      <c r="C46" s="5">
        <v>33727</v>
      </c>
      <c r="D46" s="5">
        <v>24220</v>
      </c>
      <c r="E46" s="5">
        <v>0</v>
      </c>
      <c r="F46" s="20">
        <v>97240</v>
      </c>
      <c r="G46" s="47">
        <f t="shared" si="0"/>
        <v>11.100456621004566</v>
      </c>
      <c r="H46" s="46">
        <f t="shared" si="1"/>
        <v>11100456.621004567</v>
      </c>
      <c r="I46" s="49">
        <v>1.42</v>
      </c>
      <c r="J46" s="48">
        <f t="shared" si="8"/>
        <v>28106356.16438356</v>
      </c>
      <c r="K46" s="52">
        <f t="shared" si="3"/>
        <v>11100456.621004567</v>
      </c>
      <c r="L46" s="53">
        <f t="shared" si="4"/>
        <v>11100456.621004567</v>
      </c>
      <c r="M46" s="56">
        <f t="shared" si="5"/>
        <v>11100456.621004567</v>
      </c>
      <c r="N46" s="57">
        <f t="shared" si="6"/>
        <v>11100456.621004567</v>
      </c>
      <c r="O46" s="30">
        <v>1694</v>
      </c>
      <c r="P46" s="30">
        <v>1850</v>
      </c>
      <c r="Q46" s="30">
        <v>572</v>
      </c>
      <c r="R46" s="30">
        <f t="shared" si="7"/>
        <v>1822</v>
      </c>
      <c r="S46" s="58">
        <f>(J46*'Cost Data'!$C$4)+('Cost Data'!$C$5*K46)+(L46*'Cost Data'!$C$6)</f>
        <v>74497473278.538818</v>
      </c>
      <c r="T46" s="58">
        <f>M46*'Cost Data'!$C$7</f>
        <v>28550374429.223743</v>
      </c>
    </row>
    <row r="47" spans="1:20" ht="13.8" x14ac:dyDescent="0.3">
      <c r="A47" s="4" t="s">
        <v>51</v>
      </c>
      <c r="B47" s="5">
        <v>144242</v>
      </c>
      <c r="C47" s="5">
        <v>137486</v>
      </c>
      <c r="D47" s="5">
        <v>119970</v>
      </c>
      <c r="E47" s="5">
        <v>182</v>
      </c>
      <c r="F47" s="20">
        <v>401880</v>
      </c>
      <c r="G47" s="47">
        <f t="shared" si="0"/>
        <v>45.876712328767127</v>
      </c>
      <c r="H47" s="46">
        <f t="shared" si="1"/>
        <v>45876712.328767128</v>
      </c>
      <c r="I47" s="50">
        <v>15.6</v>
      </c>
      <c r="J47" s="48">
        <f>(H47-(H47*(I55/100)))*3</f>
        <v>124417643.83561644</v>
      </c>
      <c r="K47" s="52">
        <f t="shared" si="3"/>
        <v>45876712.328767128</v>
      </c>
      <c r="L47" s="53">
        <f t="shared" si="4"/>
        <v>45876712.328767128</v>
      </c>
      <c r="M47" s="56">
        <f t="shared" si="5"/>
        <v>45876712.328767128</v>
      </c>
      <c r="N47" s="57">
        <f t="shared" si="6"/>
        <v>45876712.328767128</v>
      </c>
      <c r="O47" s="30">
        <v>1694</v>
      </c>
      <c r="P47" s="30">
        <v>1850</v>
      </c>
      <c r="Q47" s="30">
        <v>572</v>
      </c>
      <c r="R47" s="30">
        <f t="shared" si="7"/>
        <v>1822</v>
      </c>
      <c r="S47" s="58">
        <f>(J47*'Cost Data'!$C$4)+('Cost Data'!$C$5*K47)+(L47*'Cost Data'!$C$6)</f>
        <v>321876885917.80823</v>
      </c>
      <c r="T47" s="58">
        <f>M47*'Cost Data'!$C$7</f>
        <v>117994904109.58905</v>
      </c>
    </row>
    <row r="48" spans="1:20" ht="13.8" x14ac:dyDescent="0.3">
      <c r="A48" s="4" t="s">
        <v>53</v>
      </c>
      <c r="B48" s="5">
        <v>9511</v>
      </c>
      <c r="C48" s="5">
        <v>11739</v>
      </c>
      <c r="D48" s="5">
        <v>9283</v>
      </c>
      <c r="E48" s="5">
        <v>56</v>
      </c>
      <c r="F48" s="20">
        <v>30589</v>
      </c>
      <c r="G48" s="47">
        <f t="shared" ref="G48:G55" si="9">F48/8760</f>
        <v>3.4918949771689496</v>
      </c>
      <c r="H48" s="46">
        <f t="shared" ref="H48:H55" si="10">G48*10^6</f>
        <v>3491894.9771689498</v>
      </c>
      <c r="I48" s="50">
        <v>9.4</v>
      </c>
      <c r="J48" s="48">
        <f t="shared" ref="J48:J53" si="11">(H48-(H48*(I49/100)))*3</f>
        <v>6149227.0547945211</v>
      </c>
      <c r="K48" s="52">
        <f t="shared" ref="K48:K55" si="12">H48</f>
        <v>3491894.9771689498</v>
      </c>
      <c r="L48" s="53">
        <f t="shared" ref="L48:L55" si="13">H48</f>
        <v>3491894.9771689498</v>
      </c>
      <c r="M48" s="56">
        <f t="shared" ref="M48:M55" si="14">H48</f>
        <v>3491894.9771689498</v>
      </c>
      <c r="N48" s="57">
        <f t="shared" ref="N48:N55" si="15">M48</f>
        <v>3491894.9771689498</v>
      </c>
      <c r="O48" s="30">
        <v>1694</v>
      </c>
      <c r="P48" s="30">
        <v>1850</v>
      </c>
      <c r="Q48" s="30">
        <v>572</v>
      </c>
      <c r="R48" s="30">
        <f t="shared" si="7"/>
        <v>1822</v>
      </c>
      <c r="S48" s="58">
        <f>(J48*'Cost Data'!$C$4)+('Cost Data'!$C$5*K48)+(L48*'Cost Data'!$C$6)</f>
        <v>18874160265.525116</v>
      </c>
      <c r="T48" s="58">
        <f>M48*'Cost Data'!$C$7</f>
        <v>8981153881.2785397</v>
      </c>
    </row>
    <row r="49" spans="1:25" ht="13.8" x14ac:dyDescent="0.3">
      <c r="A49" s="4" t="s">
        <v>54</v>
      </c>
      <c r="B49" s="5">
        <v>2023</v>
      </c>
      <c r="C49" s="5">
        <v>1977</v>
      </c>
      <c r="D49" s="5">
        <v>1424</v>
      </c>
      <c r="E49" s="5">
        <v>0</v>
      </c>
      <c r="F49" s="20">
        <v>5424</v>
      </c>
      <c r="G49" s="47">
        <f t="shared" si="9"/>
        <v>0.61917808219178083</v>
      </c>
      <c r="H49" s="46">
        <f t="shared" si="10"/>
        <v>619178.08219178079</v>
      </c>
      <c r="I49" s="50">
        <v>41.3</v>
      </c>
      <c r="J49" s="48">
        <f t="shared" si="11"/>
        <v>1769858.6301369863</v>
      </c>
      <c r="K49" s="52">
        <f t="shared" si="12"/>
        <v>619178.08219178079</v>
      </c>
      <c r="L49" s="53">
        <f t="shared" si="13"/>
        <v>619178.08219178079</v>
      </c>
      <c r="M49" s="56">
        <f t="shared" si="14"/>
        <v>619178.08219178079</v>
      </c>
      <c r="N49" s="57">
        <f t="shared" si="15"/>
        <v>619178.08219178079</v>
      </c>
      <c r="O49" s="30">
        <v>1694</v>
      </c>
      <c r="P49" s="30">
        <v>1850</v>
      </c>
      <c r="Q49" s="30">
        <v>572</v>
      </c>
      <c r="R49" s="30">
        <f t="shared" si="7"/>
        <v>1822</v>
      </c>
      <c r="S49" s="58">
        <f>(J49*'Cost Data'!$C$4)+('Cost Data'!$C$5*K49)+(L49*'Cost Data'!$C$6)</f>
        <v>4497789834.5205479</v>
      </c>
      <c r="T49" s="58">
        <f>M49*'Cost Data'!$C$7</f>
        <v>1592526027.3972602</v>
      </c>
    </row>
    <row r="50" spans="1:25" ht="13.8" x14ac:dyDescent="0.3">
      <c r="A50" s="4" t="s">
        <v>55</v>
      </c>
      <c r="B50" s="5">
        <v>43982</v>
      </c>
      <c r="C50" s="5">
        <v>50201</v>
      </c>
      <c r="D50" s="5">
        <v>17169</v>
      </c>
      <c r="E50" s="5">
        <v>178</v>
      </c>
      <c r="F50" s="20">
        <v>111530</v>
      </c>
      <c r="G50" s="47">
        <f t="shared" si="9"/>
        <v>12.731735159817351</v>
      </c>
      <c r="H50" s="46">
        <f t="shared" si="10"/>
        <v>12731735.159817351</v>
      </c>
      <c r="I50" s="49">
        <v>4.72</v>
      </c>
      <c r="J50" s="48">
        <f t="shared" si="11"/>
        <v>35063198.630136982</v>
      </c>
      <c r="K50" s="52">
        <f t="shared" si="12"/>
        <v>12731735.159817351</v>
      </c>
      <c r="L50" s="53">
        <f t="shared" si="13"/>
        <v>12731735.159817351</v>
      </c>
      <c r="M50" s="56">
        <f t="shared" si="14"/>
        <v>12731735.159817351</v>
      </c>
      <c r="N50" s="57">
        <f t="shared" si="15"/>
        <v>12731735.159817351</v>
      </c>
      <c r="O50" s="30">
        <v>1694</v>
      </c>
      <c r="P50" s="30">
        <v>1850</v>
      </c>
      <c r="Q50" s="30">
        <v>572</v>
      </c>
      <c r="R50" s="30">
        <f t="shared" si="7"/>
        <v>1822</v>
      </c>
      <c r="S50" s="58">
        <f>(J50*'Cost Data'!$C$4)+('Cost Data'!$C$5*K50)+(L50*'Cost Data'!$C$6)</f>
        <v>90233321036.529678</v>
      </c>
      <c r="T50" s="58">
        <f>M50*'Cost Data'!$C$7</f>
        <v>32746022831.050228</v>
      </c>
    </row>
    <row r="51" spans="1:25" ht="13.8" x14ac:dyDescent="0.3">
      <c r="A51" s="4" t="s">
        <v>56</v>
      </c>
      <c r="B51" s="5">
        <v>37283</v>
      </c>
      <c r="C51" s="5">
        <v>29800</v>
      </c>
      <c r="D51" s="5">
        <v>24859</v>
      </c>
      <c r="E51" s="5">
        <v>7</v>
      </c>
      <c r="F51" s="20">
        <v>91948</v>
      </c>
      <c r="G51" s="47">
        <f t="shared" si="9"/>
        <v>10.49634703196347</v>
      </c>
      <c r="H51" s="46">
        <f t="shared" si="10"/>
        <v>10496347.031963469</v>
      </c>
      <c r="I51" s="50">
        <v>8.1999999999999993</v>
      </c>
      <c r="J51" s="48">
        <f t="shared" si="11"/>
        <v>30799431.09589041</v>
      </c>
      <c r="K51" s="52">
        <f t="shared" si="12"/>
        <v>10496347.031963469</v>
      </c>
      <c r="L51" s="53">
        <f t="shared" si="13"/>
        <v>10496347.031963469</v>
      </c>
      <c r="M51" s="56">
        <f t="shared" si="14"/>
        <v>10496347.031963469</v>
      </c>
      <c r="N51" s="57">
        <f t="shared" si="15"/>
        <v>10496347.031963469</v>
      </c>
      <c r="O51" s="30">
        <v>1694</v>
      </c>
      <c r="P51" s="30">
        <v>1850</v>
      </c>
      <c r="Q51" s="30">
        <v>572</v>
      </c>
      <c r="R51" s="30">
        <f t="shared" si="7"/>
        <v>1822</v>
      </c>
      <c r="S51" s="58">
        <f>(J51*'Cost Data'!$C$4)+('Cost Data'!$C$5*K51)+(L51*'Cost Data'!$C$6)</f>
        <v>77596388787.853882</v>
      </c>
      <c r="T51" s="58">
        <f>M51*'Cost Data'!$C$7</f>
        <v>26996604566.210045</v>
      </c>
    </row>
    <row r="52" spans="1:25" ht="13.8" x14ac:dyDescent="0.3">
      <c r="A52" s="4" t="s">
        <v>57</v>
      </c>
      <c r="B52" s="5">
        <v>10573</v>
      </c>
      <c r="C52" s="5">
        <v>7549</v>
      </c>
      <c r="D52" s="5">
        <v>13586</v>
      </c>
      <c r="E52" s="5">
        <v>0</v>
      </c>
      <c r="F52" s="20">
        <v>31709</v>
      </c>
      <c r="G52" s="47">
        <f t="shared" si="9"/>
        <v>3.6197488584474886</v>
      </c>
      <c r="H52" s="46">
        <f t="shared" si="10"/>
        <v>3619748.8584474884</v>
      </c>
      <c r="I52" s="49">
        <v>2.19</v>
      </c>
      <c r="J52" s="48">
        <f t="shared" si="11"/>
        <v>10327143.493150685</v>
      </c>
      <c r="K52" s="52">
        <f t="shared" si="12"/>
        <v>3619748.8584474884</v>
      </c>
      <c r="L52" s="53">
        <f t="shared" si="13"/>
        <v>3619748.8584474884</v>
      </c>
      <c r="M52" s="56">
        <f t="shared" si="14"/>
        <v>3619748.8584474884</v>
      </c>
      <c r="N52" s="57">
        <f t="shared" si="15"/>
        <v>3619748.8584474884</v>
      </c>
      <c r="O52" s="30">
        <v>1694</v>
      </c>
      <c r="P52" s="30">
        <v>1850</v>
      </c>
      <c r="Q52" s="30">
        <v>572</v>
      </c>
      <c r="R52" s="30">
        <f t="shared" si="7"/>
        <v>1822</v>
      </c>
      <c r="S52" s="58">
        <f>(J52*'Cost Data'!$C$4)+('Cost Data'!$C$5*K52)+(L52*'Cost Data'!$C$6)</f>
        <v>26261212812.557076</v>
      </c>
      <c r="T52" s="58">
        <f>M52*'Cost Data'!$C$7</f>
        <v>9309994063.9269409</v>
      </c>
    </row>
    <row r="53" spans="1:25" ht="13.8" x14ac:dyDescent="0.3">
      <c r="A53" s="4" t="s">
        <v>58</v>
      </c>
      <c r="B53" s="5">
        <v>21233</v>
      </c>
      <c r="C53" s="5">
        <v>23641</v>
      </c>
      <c r="D53" s="5">
        <v>24205</v>
      </c>
      <c r="E53" s="5">
        <v>0.2</v>
      </c>
      <c r="F53" s="20">
        <v>69079</v>
      </c>
      <c r="G53" s="47">
        <f t="shared" si="9"/>
        <v>7.8857305936073061</v>
      </c>
      <c r="H53" s="46">
        <f t="shared" si="10"/>
        <v>7885730.5936073065</v>
      </c>
      <c r="I53" s="49">
        <v>4.9000000000000004</v>
      </c>
      <c r="J53" s="48">
        <f t="shared" si="11"/>
        <v>21433415.753424659</v>
      </c>
      <c r="K53" s="52">
        <f t="shared" si="12"/>
        <v>7885730.5936073065</v>
      </c>
      <c r="L53" s="53">
        <f t="shared" si="13"/>
        <v>7885730.5936073065</v>
      </c>
      <c r="M53" s="56">
        <f t="shared" si="14"/>
        <v>7885730.5936073065</v>
      </c>
      <c r="N53" s="57">
        <f t="shared" si="15"/>
        <v>7885730.5936073065</v>
      </c>
      <c r="O53" s="30">
        <v>1694</v>
      </c>
      <c r="P53" s="30">
        <v>1850</v>
      </c>
      <c r="Q53" s="30">
        <v>572</v>
      </c>
      <c r="R53" s="30">
        <f t="shared" si="7"/>
        <v>1822</v>
      </c>
      <c r="S53" s="58">
        <f>(J53*'Cost Data'!$C$4)+('Cost Data'!$C$5*K53)+(L53*'Cost Data'!$C$6)</f>
        <v>55407445784.018272</v>
      </c>
      <c r="T53" s="58">
        <f>M53*'Cost Data'!$C$7</f>
        <v>20282099086.757992</v>
      </c>
    </row>
    <row r="54" spans="1:25" ht="13.8" x14ac:dyDescent="0.3">
      <c r="A54" s="4" t="s">
        <v>59</v>
      </c>
      <c r="B54" s="5">
        <v>2772</v>
      </c>
      <c r="C54" s="5">
        <v>3762</v>
      </c>
      <c r="D54" s="5">
        <v>10244</v>
      </c>
      <c r="E54" s="5">
        <v>0</v>
      </c>
      <c r="F54" s="20">
        <v>16778</v>
      </c>
      <c r="G54" s="47">
        <f t="shared" si="9"/>
        <v>1.9152968036529681</v>
      </c>
      <c r="H54" s="46">
        <f t="shared" si="10"/>
        <v>1915296.803652968</v>
      </c>
      <c r="I54" s="50">
        <v>9.4</v>
      </c>
      <c r="J54" s="48">
        <f>(H54-(H54*(I54/100)))*3</f>
        <v>5205776.7123287674</v>
      </c>
      <c r="K54" s="52">
        <f t="shared" si="12"/>
        <v>1915296.803652968</v>
      </c>
      <c r="L54" s="53">
        <f t="shared" si="13"/>
        <v>1915296.803652968</v>
      </c>
      <c r="M54" s="56">
        <f t="shared" si="14"/>
        <v>1915296.803652968</v>
      </c>
      <c r="N54" s="57">
        <f t="shared" si="15"/>
        <v>1915296.803652968</v>
      </c>
      <c r="O54" s="30">
        <v>1694</v>
      </c>
      <c r="P54" s="30">
        <v>1850</v>
      </c>
      <c r="Q54" s="30">
        <v>572</v>
      </c>
      <c r="R54" s="30">
        <f t="shared" si="7"/>
        <v>1822</v>
      </c>
      <c r="S54" s="58">
        <f>(J54*'Cost Data'!$C$4)+('Cost Data'!$C$5*K54)+(L54*'Cost Data'!$C$6)</f>
        <v>13457434609.132421</v>
      </c>
      <c r="T54" s="58">
        <f>M54*'Cost Data'!$C$7</f>
        <v>4926143378.9954338</v>
      </c>
    </row>
    <row r="55" spans="1:25" s="43" customFormat="1" ht="13.8" x14ac:dyDescent="0.3">
      <c r="A55" s="37" t="s">
        <v>52</v>
      </c>
      <c r="B55" s="38">
        <v>1378648</v>
      </c>
      <c r="C55" s="38">
        <v>1352888</v>
      </c>
      <c r="D55" s="38">
        <v>984298</v>
      </c>
      <c r="E55" s="38">
        <v>7523</v>
      </c>
      <c r="F55" s="39">
        <v>3723356</v>
      </c>
      <c r="G55" s="47">
        <f t="shared" si="9"/>
        <v>425.04063926940637</v>
      </c>
      <c r="H55" s="46">
        <f t="shared" si="10"/>
        <v>425040639.26940638</v>
      </c>
      <c r="I55" s="50">
        <v>9.6</v>
      </c>
      <c r="J55" s="48">
        <f>(H55-(H55*(I48/100)))*3</f>
        <v>1155260457.5342464</v>
      </c>
      <c r="K55" s="52">
        <f t="shared" si="12"/>
        <v>425040639.26940638</v>
      </c>
      <c r="L55" s="53">
        <f t="shared" si="13"/>
        <v>425040639.26940638</v>
      </c>
      <c r="M55" s="56">
        <f t="shared" si="14"/>
        <v>425040639.26940638</v>
      </c>
      <c r="N55" s="57">
        <f t="shared" si="15"/>
        <v>425040639.26940638</v>
      </c>
      <c r="O55" s="30">
        <v>1694</v>
      </c>
      <c r="P55" s="30">
        <v>1850</v>
      </c>
      <c r="Q55" s="30">
        <v>572</v>
      </c>
      <c r="R55" s="30">
        <f t="shared" si="7"/>
        <v>1822</v>
      </c>
      <c r="S55" s="58">
        <f>(J55*'Cost Data'!$C$4)+('Cost Data'!$C$5*K55)+(L55*'Cost Data'!$C$6)</f>
        <v>2986459643373.5156</v>
      </c>
      <c r="T55" s="58">
        <f>M55*'Cost Data'!$C$7</f>
        <v>1093204524200.9132</v>
      </c>
      <c r="U55" s="41"/>
      <c r="V55" s="40"/>
      <c r="W55" s="40"/>
      <c r="X55" s="40"/>
      <c r="Y55" s="42"/>
    </row>
    <row r="56" spans="1:25" ht="117" customHeight="1" thickBot="1" x14ac:dyDescent="0.35">
      <c r="A56" s="176" t="s">
        <v>60</v>
      </c>
      <c r="B56" s="176"/>
      <c r="C56" s="176"/>
      <c r="D56" s="176"/>
      <c r="E56" s="176"/>
      <c r="F56" s="176"/>
      <c r="G56" s="33"/>
      <c r="H56" s="33"/>
      <c r="I56" s="22"/>
    </row>
    <row r="57" spans="1:25" thickTop="1" thickBot="1" x14ac:dyDescent="0.35">
      <c r="F57" s="21"/>
    </row>
    <row r="58" spans="1:25" ht="13.8" x14ac:dyDescent="0.3"/>
    <row r="59" spans="1:25" ht="13.8" x14ac:dyDescent="0.3"/>
  </sheetData>
  <mergeCells count="4">
    <mergeCell ref="A56:F56"/>
    <mergeCell ref="A1:F1"/>
    <mergeCell ref="A2:F2"/>
    <mergeCell ref="G1:H1"/>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D3911-3FF2-43D4-A4A8-F75330376847}">
  <dimension ref="B2:B24"/>
  <sheetViews>
    <sheetView workbookViewId="0">
      <selection activeCell="R22" sqref="R22"/>
    </sheetView>
  </sheetViews>
  <sheetFormatPr defaultRowHeight="14.4" x14ac:dyDescent="0.3"/>
  <sheetData>
    <row r="2" spans="2:2" ht="17.399999999999999" x14ac:dyDescent="0.3">
      <c r="B2" s="141" t="s">
        <v>480</v>
      </c>
    </row>
    <row r="3" spans="2:2" ht="16.2" x14ac:dyDescent="0.3">
      <c r="B3" s="140" t="s">
        <v>481</v>
      </c>
    </row>
    <row r="5" spans="2:2" x14ac:dyDescent="0.3">
      <c r="B5" s="142" t="s">
        <v>482</v>
      </c>
    </row>
    <row r="7" spans="2:2" x14ac:dyDescent="0.3">
      <c r="B7" s="142" t="s">
        <v>483</v>
      </c>
    </row>
    <row r="9" spans="2:2" x14ac:dyDescent="0.3">
      <c r="B9" s="143" t="s">
        <v>484</v>
      </c>
    </row>
    <row r="11" spans="2:2" x14ac:dyDescent="0.3">
      <c r="B11" s="144" t="s">
        <v>485</v>
      </c>
    </row>
    <row r="13" spans="2:2" x14ac:dyDescent="0.3">
      <c r="B13" s="142" t="s">
        <v>486</v>
      </c>
    </row>
    <row r="15" spans="2:2" x14ac:dyDescent="0.3">
      <c r="B15" s="144" t="s">
        <v>487</v>
      </c>
    </row>
    <row r="17" spans="2:2" x14ac:dyDescent="0.3">
      <c r="B17" s="145" t="s">
        <v>488</v>
      </c>
    </row>
    <row r="21" spans="2:2" x14ac:dyDescent="0.3">
      <c r="B21" s="144" t="s">
        <v>489</v>
      </c>
    </row>
    <row r="22" spans="2:2" x14ac:dyDescent="0.3">
      <c r="B22" s="144" t="s">
        <v>490</v>
      </c>
    </row>
    <row r="23" spans="2:2" x14ac:dyDescent="0.3">
      <c r="B23" s="144" t="s">
        <v>491</v>
      </c>
    </row>
    <row r="24" spans="2:2" x14ac:dyDescent="0.3">
      <c r="B24" s="144" t="s">
        <v>492</v>
      </c>
    </row>
  </sheetData>
  <hyperlinks>
    <hyperlink ref="B11" location="_ftn3" display="_ftn3" xr:uid="{96250C2B-7B51-4B05-BF0D-53FCA0D5931B}"/>
    <hyperlink ref="B15" location="_ftn4" display="_ftn4" xr:uid="{16D5A893-E688-4559-A68C-8E6B20DA1B1E}"/>
    <hyperlink ref="B21" location="_ftnref1" display="_ftnref1" xr:uid="{1D9DC893-8563-4167-8A6E-8A819A18182D}"/>
    <hyperlink ref="B22" location="_ftnref2" display="_ftnref2" xr:uid="{6C9F1540-21EE-445B-AF20-EF7ADD3AC8CF}"/>
    <hyperlink ref="B23" location="_ftnref3" display="_ftnref3" xr:uid="{766BA5C2-E6A4-4F71-AA7F-05EEF5A83A49}"/>
    <hyperlink ref="B24" location="_ftnref4" display="_ftnref4" xr:uid="{10FDB2A7-98B3-47BD-8DEF-EC145A3DC59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2CD4E-CD70-46B5-AC88-BC006BFEE412}">
  <dimension ref="A2:O58"/>
  <sheetViews>
    <sheetView workbookViewId="0">
      <selection activeCell="G2" sqref="G2"/>
    </sheetView>
  </sheetViews>
  <sheetFormatPr defaultRowHeight="14.4" x14ac:dyDescent="0.3"/>
  <cols>
    <col min="1" max="1" width="18.77734375" customWidth="1"/>
    <col min="2" max="2" width="11.109375" customWidth="1"/>
    <col min="4" max="4" width="16" style="9" customWidth="1"/>
    <col min="7" max="7" width="17.5546875" style="35" customWidth="1"/>
    <col min="8" max="8" width="20.109375" style="35" customWidth="1"/>
    <col min="12" max="12" width="11.5546875" bestFit="1" customWidth="1"/>
    <col min="15" max="15" width="16.88671875" bestFit="1" customWidth="1"/>
  </cols>
  <sheetData>
    <row r="2" spans="1:12" ht="15.6" x14ac:dyDescent="0.3">
      <c r="G2" s="146" t="s">
        <v>493</v>
      </c>
    </row>
    <row r="4" spans="1:12" s="12" customFormat="1" ht="28.8" x14ac:dyDescent="0.3">
      <c r="A4" s="7"/>
      <c r="B4" s="10" t="s">
        <v>320</v>
      </c>
      <c r="C4" s="10" t="s">
        <v>322</v>
      </c>
      <c r="D4" s="11" t="s">
        <v>113</v>
      </c>
      <c r="E4" s="12" t="s">
        <v>228</v>
      </c>
      <c r="F4" s="12" t="s">
        <v>229</v>
      </c>
      <c r="G4" s="59" t="s">
        <v>230</v>
      </c>
      <c r="H4" s="59" t="s">
        <v>344</v>
      </c>
      <c r="K4" s="12" t="s">
        <v>321</v>
      </c>
      <c r="L4" s="12">
        <f>(172/137)*1.04</f>
        <v>1.3056934306569343</v>
      </c>
    </row>
    <row r="5" spans="1:12" s="12" customFormat="1" ht="79.8" x14ac:dyDescent="0.3">
      <c r="A5" s="8" t="s">
        <v>94</v>
      </c>
      <c r="B5">
        <v>6916.9</v>
      </c>
      <c r="C5">
        <f>B5*$L$4</f>
        <v>9031.3508905109484</v>
      </c>
      <c r="D5" s="9">
        <f>C5*365</f>
        <v>3296443.0750364959</v>
      </c>
      <c r="E5" s="9">
        <f t="shared" ref="E5:E36" si="0">D5*1000*$E$58</f>
        <v>110134515856.37837</v>
      </c>
      <c r="F5" s="11">
        <f>E5/8760</f>
        <v>12572433.316938171</v>
      </c>
      <c r="G5" s="59">
        <f>(F5*3)*'Cost Data'!$C$4+(F5*'Cost Data'!$C$5)+F5*'Cost Data'!$C$6</f>
        <v>94343539610.304047</v>
      </c>
      <c r="H5" s="59">
        <f>F5*'Cost Data'!$C$7</f>
        <v>32336298491.164978</v>
      </c>
    </row>
    <row r="6" spans="1:12" ht="79.8" x14ac:dyDescent="0.3">
      <c r="A6" s="8" t="s">
        <v>105</v>
      </c>
      <c r="B6">
        <v>687.7</v>
      </c>
      <c r="C6">
        <f t="shared" ref="C6:C55" si="1">B6*$L$4</f>
        <v>897.92537226277375</v>
      </c>
      <c r="D6" s="9">
        <f t="shared" ref="D6:D55" si="2">C6*365</f>
        <v>327742.76087591244</v>
      </c>
      <c r="E6" s="9">
        <f t="shared" si="0"/>
        <v>10949920709.339649</v>
      </c>
      <c r="F6" s="11">
        <f t="shared" ref="F6:F54" si="3">E6/8760</f>
        <v>1249990.9485547545</v>
      </c>
      <c r="G6" s="59">
        <f>(F6*3)*'Cost Data'!$C$4+(F6*'Cost Data'!$C$5)+F6*'Cost Data'!$C$6</f>
        <v>9379932077.9548779</v>
      </c>
      <c r="H6" s="59">
        <f>F6*'Cost Data'!$C$7</f>
        <v>3214976719.6828284</v>
      </c>
    </row>
    <row r="7" spans="1:12" ht="79.8" x14ac:dyDescent="0.3">
      <c r="A7" s="8" t="s">
        <v>106</v>
      </c>
      <c r="B7">
        <v>8201.5</v>
      </c>
      <c r="C7">
        <f t="shared" si="1"/>
        <v>10708.644671532847</v>
      </c>
      <c r="D7" s="9">
        <f t="shared" si="2"/>
        <v>3908655.3051094892</v>
      </c>
      <c r="E7" s="9">
        <f t="shared" si="0"/>
        <v>130588591969.8257</v>
      </c>
      <c r="F7" s="11">
        <f t="shared" si="3"/>
        <v>14907373.51253718</v>
      </c>
      <c r="G7" s="59">
        <f>(F7*3)*'Cost Data'!$C$4+(F7*'Cost Data'!$C$5)+F7*'Cost Data'!$C$6</f>
        <v>111864930838.07899</v>
      </c>
      <c r="H7" s="59">
        <f>F7*'Cost Data'!$C$7</f>
        <v>38341764674.245628</v>
      </c>
    </row>
    <row r="8" spans="1:12" ht="79.8" x14ac:dyDescent="0.3">
      <c r="A8" s="8" t="s">
        <v>95</v>
      </c>
      <c r="B8">
        <v>3905.1</v>
      </c>
      <c r="C8">
        <f t="shared" si="1"/>
        <v>5098.8634160583943</v>
      </c>
      <c r="D8" s="9">
        <f t="shared" si="2"/>
        <v>1861085.1468613138</v>
      </c>
      <c r="E8" s="9">
        <f t="shared" si="0"/>
        <v>62179053892.747215</v>
      </c>
      <c r="F8" s="11">
        <f t="shared" si="3"/>
        <v>7098065.5128706871</v>
      </c>
      <c r="G8" s="59">
        <f>(F8*3)*'Cost Data'!$C$4+(F8*'Cost Data'!$C$5)+F8*'Cost Data'!$C$6</f>
        <v>53263883608.581635</v>
      </c>
      <c r="H8" s="59">
        <f>F8*'Cost Data'!$C$7</f>
        <v>18256224499.103409</v>
      </c>
    </row>
    <row r="9" spans="1:12" ht="79.8" x14ac:dyDescent="0.3">
      <c r="A9" s="8" t="s">
        <v>107</v>
      </c>
      <c r="B9">
        <v>39453.199999999997</v>
      </c>
      <c r="C9">
        <f t="shared" si="1"/>
        <v>51513.784058394158</v>
      </c>
      <c r="D9" s="9">
        <f t="shared" si="2"/>
        <v>18802531.181313869</v>
      </c>
      <c r="E9" s="9">
        <f t="shared" si="0"/>
        <v>628194578638.53284</v>
      </c>
      <c r="F9" s="11">
        <f t="shared" si="3"/>
        <v>71711709.890243471</v>
      </c>
      <c r="G9" s="59">
        <f>(F9*3)*'Cost Data'!$C$4+(F9*'Cost Data'!$C$5)+F9*'Cost Data'!$C$6</f>
        <v>538124671016.38708</v>
      </c>
      <c r="H9" s="59">
        <f>F9*'Cost Data'!$C$7</f>
        <v>184442517837.70621</v>
      </c>
    </row>
    <row r="10" spans="1:12" ht="79.8" x14ac:dyDescent="0.3">
      <c r="A10" s="8" t="s">
        <v>100</v>
      </c>
      <c r="B10">
        <v>6547.2</v>
      </c>
      <c r="C10">
        <f t="shared" si="1"/>
        <v>8548.6360291970796</v>
      </c>
      <c r="D10" s="9">
        <f t="shared" si="2"/>
        <v>3120252.1506569339</v>
      </c>
      <c r="E10" s="9">
        <f t="shared" si="0"/>
        <v>104247958220.42828</v>
      </c>
      <c r="F10" s="11">
        <f t="shared" si="3"/>
        <v>11900451.851647064</v>
      </c>
      <c r="G10" s="59">
        <f>(F10*3)*'Cost Data'!$C$4+(F10*'Cost Data'!$C$5)+F10*'Cost Data'!$C$6</f>
        <v>89300990694.759567</v>
      </c>
      <c r="H10" s="59">
        <f>F10*'Cost Data'!$C$7</f>
        <v>30607962162.436249</v>
      </c>
    </row>
    <row r="11" spans="1:12" ht="79.8" x14ac:dyDescent="0.3">
      <c r="A11" s="8" t="s">
        <v>62</v>
      </c>
      <c r="B11">
        <v>4242.3999999999996</v>
      </c>
      <c r="C11">
        <f t="shared" si="1"/>
        <v>5539.2738102189778</v>
      </c>
      <c r="D11" s="9">
        <f t="shared" si="2"/>
        <v>2021834.9407299268</v>
      </c>
      <c r="E11" s="9">
        <f t="shared" si="0"/>
        <v>67549721706.125519</v>
      </c>
      <c r="F11" s="11">
        <f t="shared" si="3"/>
        <v>7711155.4459047392</v>
      </c>
      <c r="G11" s="59">
        <f>(F11*3)*'Cost Data'!$C$4+(F11*'Cost Data'!$C$5)+F11*'Cost Data'!$C$6</f>
        <v>57864510466.06916</v>
      </c>
      <c r="H11" s="59">
        <f>F11*'Cost Data'!$C$7</f>
        <v>19833091806.866989</v>
      </c>
    </row>
    <row r="12" spans="1:12" ht="79.8" x14ac:dyDescent="0.3">
      <c r="A12" s="8" t="s">
        <v>68</v>
      </c>
      <c r="B12">
        <v>1315.6</v>
      </c>
      <c r="C12">
        <f t="shared" si="1"/>
        <v>1717.7702773722626</v>
      </c>
      <c r="D12" s="9">
        <f t="shared" si="2"/>
        <v>626986.15124087583</v>
      </c>
      <c r="E12" s="9">
        <f t="shared" si="0"/>
        <v>20947674400.475845</v>
      </c>
      <c r="F12" s="11">
        <f t="shared" si="3"/>
        <v>2391287.0320177907</v>
      </c>
      <c r="G12" s="59">
        <f>(F12*3)*'Cost Data'!$C$4+(F12*'Cost Data'!$C$5)+F12*'Cost Data'!$C$6</f>
        <v>17944217888.261501</v>
      </c>
      <c r="H12" s="59">
        <f>F12*'Cost Data'!$C$7</f>
        <v>6150390246.3497581</v>
      </c>
    </row>
    <row r="13" spans="1:12" ht="79.8" x14ac:dyDescent="0.3">
      <c r="A13" s="8" t="s">
        <v>73</v>
      </c>
      <c r="B13">
        <v>20083.900000000001</v>
      </c>
      <c r="C13">
        <f t="shared" si="1"/>
        <v>26223.416291970807</v>
      </c>
      <c r="D13" s="9">
        <f t="shared" si="2"/>
        <v>9571546.946569344</v>
      </c>
      <c r="E13" s="9">
        <f t="shared" si="0"/>
        <v>319786407640.40509</v>
      </c>
      <c r="F13" s="11">
        <f t="shared" si="3"/>
        <v>36505297.675845332</v>
      </c>
      <c r="G13" s="59">
        <f>(F13*3)*'Cost Data'!$C$4+(F13*'Cost Data'!$C$5)+F13*'Cost Data'!$C$6</f>
        <v>273935753759.5434</v>
      </c>
      <c r="H13" s="59">
        <f>F13*'Cost Data'!$C$7</f>
        <v>93891625622.2742</v>
      </c>
    </row>
    <row r="14" spans="1:12" ht="79.8" x14ac:dyDescent="0.3">
      <c r="A14" s="8" t="s">
        <v>74</v>
      </c>
      <c r="B14">
        <v>13594.4</v>
      </c>
      <c r="C14">
        <f t="shared" si="1"/>
        <v>17750.118773722628</v>
      </c>
      <c r="D14" s="9">
        <f t="shared" si="2"/>
        <v>6478793.3524087593</v>
      </c>
      <c r="E14" s="9">
        <f t="shared" si="0"/>
        <v>216457179134.86539</v>
      </c>
      <c r="F14" s="11">
        <f t="shared" si="3"/>
        <v>24709723.645532578</v>
      </c>
      <c r="G14" s="59">
        <f>(F14*3)*'Cost Data'!$C$4+(F14*'Cost Data'!$C$5)+F14*'Cost Data'!$C$6</f>
        <v>185421766236.07645</v>
      </c>
      <c r="H14" s="59">
        <f>F14*'Cost Data'!$C$7</f>
        <v>63553409216.309792</v>
      </c>
    </row>
    <row r="15" spans="1:12" ht="79.8" x14ac:dyDescent="0.3">
      <c r="A15" s="8" t="s">
        <v>108</v>
      </c>
      <c r="B15">
        <v>1271.5</v>
      </c>
      <c r="C15">
        <f t="shared" si="1"/>
        <v>1660.1891970802919</v>
      </c>
      <c r="D15" s="9">
        <f t="shared" si="2"/>
        <v>605969.05693430651</v>
      </c>
      <c r="E15" s="9">
        <f t="shared" si="0"/>
        <v>20245491030.864273</v>
      </c>
      <c r="F15" s="11">
        <f t="shared" si="3"/>
        <v>2311129.1131123598</v>
      </c>
      <c r="G15" s="59">
        <f>(F15*3)*'Cost Data'!$C$4+(F15*'Cost Data'!$C$5)+F15*'Cost Data'!$C$6</f>
        <v>17342712864.795147</v>
      </c>
      <c r="H15" s="59">
        <f>F15*'Cost Data'!$C$7</f>
        <v>5944224078.9249897</v>
      </c>
    </row>
    <row r="16" spans="1:12" ht="79.8" x14ac:dyDescent="0.3">
      <c r="A16" s="8" t="s">
        <v>101</v>
      </c>
      <c r="B16">
        <v>2057.1999999999998</v>
      </c>
      <c r="C16">
        <f t="shared" si="1"/>
        <v>2686.0725255474449</v>
      </c>
      <c r="D16" s="9">
        <f t="shared" si="2"/>
        <v>980416.47182481736</v>
      </c>
      <c r="E16" s="9">
        <f t="shared" si="0"/>
        <v>32755819228.229637</v>
      </c>
      <c r="F16" s="11">
        <f t="shared" si="3"/>
        <v>3739248.770345849</v>
      </c>
      <c r="G16" s="59">
        <f>(F16*3)*'Cost Data'!$C$4+(F16*'Cost Data'!$C$5)+F16*'Cost Data'!$C$6</f>
        <v>28059322772.675251</v>
      </c>
      <c r="H16" s="59">
        <f>F16*'Cost Data'!$C$7</f>
        <v>9617347837.3295231</v>
      </c>
    </row>
    <row r="17" spans="1:8" ht="79.8" x14ac:dyDescent="0.3">
      <c r="A17" s="8" t="s">
        <v>79</v>
      </c>
      <c r="B17">
        <v>12896.2</v>
      </c>
      <c r="C17">
        <f t="shared" si="1"/>
        <v>16838.483620437957</v>
      </c>
      <c r="D17" s="9">
        <f t="shared" si="2"/>
        <v>6146046.5214598542</v>
      </c>
      <c r="E17" s="9">
        <f t="shared" si="0"/>
        <v>205340071908.95154</v>
      </c>
      <c r="F17" s="11">
        <f t="shared" si="3"/>
        <v>23440647.478190813</v>
      </c>
      <c r="G17" s="59">
        <f>(F17*3)*'Cost Data'!$C$4+(F17*'Cost Data'!$C$5)+F17*'Cost Data'!$C$6</f>
        <v>175898618676.34387</v>
      </c>
      <c r="H17" s="59">
        <f>F17*'Cost Data'!$C$7</f>
        <v>60289345313.906769</v>
      </c>
    </row>
    <row r="18" spans="1:8" ht="79.8" x14ac:dyDescent="0.3">
      <c r="A18" s="8" t="s">
        <v>80</v>
      </c>
      <c r="B18">
        <v>8396.7999999999993</v>
      </c>
      <c r="C18">
        <f t="shared" si="1"/>
        <v>10963.646598540145</v>
      </c>
      <c r="D18" s="9">
        <f t="shared" si="2"/>
        <v>4001731.0084671527</v>
      </c>
      <c r="E18" s="9">
        <f t="shared" si="0"/>
        <v>133698261178.10548</v>
      </c>
      <c r="F18" s="11">
        <f t="shared" si="3"/>
        <v>15262358.581975512</v>
      </c>
      <c r="G18" s="59">
        <f>(F18*3)*'Cost Data'!$C$4+(F18*'Cost Data'!$C$5)+F18*'Cost Data'!$C$6</f>
        <v>114528738799.14424</v>
      </c>
      <c r="H18" s="59">
        <f>F18*'Cost Data'!$C$7</f>
        <v>39254786272.841019</v>
      </c>
    </row>
    <row r="19" spans="1:8" ht="66.599999999999994" x14ac:dyDescent="0.3">
      <c r="A19" s="8" t="s">
        <v>81</v>
      </c>
      <c r="B19">
        <v>3122.4</v>
      </c>
      <c r="C19">
        <f t="shared" si="1"/>
        <v>4076.8971678832118</v>
      </c>
      <c r="D19" s="9">
        <f t="shared" si="2"/>
        <v>1488067.4662773723</v>
      </c>
      <c r="E19" s="9">
        <f t="shared" si="0"/>
        <v>49716493271.545906</v>
      </c>
      <c r="F19" s="11">
        <f t="shared" si="3"/>
        <v>5675398.7752906289</v>
      </c>
      <c r="G19" s="59">
        <f>(F19*3)*'Cost Data'!$C$4+(F19*'Cost Data'!$C$5)+F19*'Cost Data'!$C$6</f>
        <v>42588192409.780876</v>
      </c>
      <c r="H19" s="59">
        <f>F19*'Cost Data'!$C$7</f>
        <v>14597125650.047497</v>
      </c>
    </row>
    <row r="20" spans="1:8" ht="79.8" x14ac:dyDescent="0.3">
      <c r="A20" s="8" t="s">
        <v>82</v>
      </c>
      <c r="B20">
        <v>4441.8</v>
      </c>
      <c r="C20">
        <f t="shared" si="1"/>
        <v>5799.6290802919711</v>
      </c>
      <c r="D20" s="9">
        <f t="shared" si="2"/>
        <v>2116864.6143065696</v>
      </c>
      <c r="E20" s="9">
        <f t="shared" si="0"/>
        <v>70724673268.496231</v>
      </c>
      <c r="F20" s="11">
        <f t="shared" si="3"/>
        <v>8073592.8388694329</v>
      </c>
      <c r="G20" s="59">
        <f>(F20*3)*'Cost Data'!$C$4+(F20*'Cost Data'!$C$5)+F20*'Cost Data'!$C$6</f>
        <v>60584240662.876221</v>
      </c>
      <c r="H20" s="59">
        <f>F20*'Cost Data'!$C$7</f>
        <v>20765280781.572182</v>
      </c>
    </row>
    <row r="21" spans="1:8" ht="79.8" x14ac:dyDescent="0.3">
      <c r="A21" s="8" t="s">
        <v>83</v>
      </c>
      <c r="B21">
        <v>5563.5</v>
      </c>
      <c r="C21">
        <f t="shared" si="1"/>
        <v>7264.2254014598539</v>
      </c>
      <c r="D21" s="9">
        <f t="shared" si="2"/>
        <v>2651442.2715328466</v>
      </c>
      <c r="E21" s="9">
        <f t="shared" si="0"/>
        <v>88584969996.235458</v>
      </c>
      <c r="F21" s="11">
        <f t="shared" si="3"/>
        <v>10112439.497287152</v>
      </c>
      <c r="G21" s="59">
        <f>(F21*3)*'Cost Data'!$C$4+(F21*'Cost Data'!$C$5)+F21*'Cost Data'!$C$6</f>
        <v>75883745987.642792</v>
      </c>
      <c r="H21" s="59">
        <f>F21*'Cost Data'!$C$7</f>
        <v>26009194387.022556</v>
      </c>
    </row>
    <row r="22" spans="1:8" ht="79.8" x14ac:dyDescent="0.3">
      <c r="A22" s="8" t="s">
        <v>96</v>
      </c>
      <c r="B22">
        <v>7696.4</v>
      </c>
      <c r="C22">
        <f t="shared" si="1"/>
        <v>10049.13891970803</v>
      </c>
      <c r="D22" s="9">
        <f t="shared" si="2"/>
        <v>3667935.7056934307</v>
      </c>
      <c r="E22" s="9">
        <f t="shared" si="0"/>
        <v>122546124396.33804</v>
      </c>
      <c r="F22" s="11">
        <f t="shared" si="3"/>
        <v>13989283.606887905</v>
      </c>
      <c r="G22" s="59">
        <f>(F22*3)*'Cost Data'!$C$4+(F22*'Cost Data'!$C$5)+F22*'Cost Data'!$C$6</f>
        <v>104975584186.08684</v>
      </c>
      <c r="H22" s="59">
        <f>F22*'Cost Data'!$C$7</f>
        <v>35980437436.915695</v>
      </c>
    </row>
    <row r="23" spans="1:8" ht="79.8" x14ac:dyDescent="0.3">
      <c r="A23" s="8" t="s">
        <v>63</v>
      </c>
      <c r="B23">
        <v>1992.4</v>
      </c>
      <c r="C23">
        <f t="shared" si="1"/>
        <v>2601.4635912408762</v>
      </c>
      <c r="D23" s="9">
        <f t="shared" si="2"/>
        <v>949534.21080291981</v>
      </c>
      <c r="E23" s="9">
        <f t="shared" si="0"/>
        <v>31724039583.086113</v>
      </c>
      <c r="F23" s="11">
        <f t="shared" si="3"/>
        <v>3621465.705831748</v>
      </c>
      <c r="G23" s="59">
        <f>(F23*3)*'Cost Data'!$C$4+(F23*'Cost Data'!$C$5)+F23*'Cost Data'!$C$6</f>
        <v>27175478656.56144</v>
      </c>
      <c r="H23" s="59">
        <f>F23*'Cost Data'!$C$7</f>
        <v>9314409795.3992558</v>
      </c>
    </row>
    <row r="24" spans="1:8" ht="79.8" x14ac:dyDescent="0.3">
      <c r="A24" s="8" t="s">
        <v>69</v>
      </c>
      <c r="B24">
        <v>5393.8</v>
      </c>
      <c r="C24">
        <f t="shared" si="1"/>
        <v>7042.6492262773727</v>
      </c>
      <c r="D24" s="9">
        <f t="shared" si="2"/>
        <v>2570566.967591241</v>
      </c>
      <c r="E24" s="9">
        <f t="shared" si="0"/>
        <v>85882917437.888901</v>
      </c>
      <c r="F24" s="11">
        <f t="shared" si="3"/>
        <v>9803986.0088914279</v>
      </c>
      <c r="G24" s="59">
        <f>(F24*3)*'Cost Data'!$C$4+(F24*'Cost Data'!$C$5)+F24*'Cost Data'!$C$6</f>
        <v>73569111010.721283</v>
      </c>
      <c r="H24" s="59">
        <f>F24*'Cost Data'!$C$7</f>
        <v>25215852014.868752</v>
      </c>
    </row>
    <row r="25" spans="1:8" ht="79.8" x14ac:dyDescent="0.3">
      <c r="A25" s="8" t="s">
        <v>64</v>
      </c>
      <c r="B25">
        <v>6521.1</v>
      </c>
      <c r="C25">
        <f t="shared" si="1"/>
        <v>8514.5574306569342</v>
      </c>
      <c r="D25" s="9">
        <f t="shared" si="2"/>
        <v>3107813.462189781</v>
      </c>
      <c r="E25" s="9">
        <f t="shared" si="0"/>
        <v>103832380307.80106</v>
      </c>
      <c r="F25" s="11">
        <f t="shared" si="3"/>
        <v>11853011.450662222</v>
      </c>
      <c r="G25" s="59">
        <f>(F25*3)*'Cost Data'!$C$4+(F25*'Cost Data'!$C$5)+F25*'Cost Data'!$C$6</f>
        <v>88944997925.769302</v>
      </c>
      <c r="H25" s="59">
        <f>F25*'Cost Data'!$C$7</f>
        <v>30485945451.103233</v>
      </c>
    </row>
    <row r="26" spans="1:8" ht="79.8" x14ac:dyDescent="0.3">
      <c r="A26" s="8" t="s">
        <v>84</v>
      </c>
      <c r="B26">
        <v>12775.6</v>
      </c>
      <c r="C26">
        <f t="shared" si="1"/>
        <v>16681.01699270073</v>
      </c>
      <c r="D26" s="9">
        <f t="shared" si="2"/>
        <v>6088571.2023357665</v>
      </c>
      <c r="E26" s="9">
        <f t="shared" si="0"/>
        <v>203419815347.15665</v>
      </c>
      <c r="F26" s="11">
        <f t="shared" si="3"/>
        <v>23221440.108122904</v>
      </c>
      <c r="G26" s="59">
        <f>(F26*3)*'Cost Data'!$C$4+(F26*'Cost Data'!$C$5)+F26*'Cost Data'!$C$6</f>
        <v>174253686571.35431</v>
      </c>
      <c r="H26" s="59">
        <f>F26*'Cost Data'!$C$7</f>
        <v>59725543958.09211</v>
      </c>
    </row>
    <row r="27" spans="1:8" ht="79.8" x14ac:dyDescent="0.3">
      <c r="A27" s="8" t="s">
        <v>85</v>
      </c>
      <c r="B27">
        <v>6218.3</v>
      </c>
      <c r="C27">
        <f t="shared" si="1"/>
        <v>8119.1934598540147</v>
      </c>
      <c r="D27" s="9">
        <f t="shared" si="2"/>
        <v>2963505.6128467154</v>
      </c>
      <c r="E27" s="9">
        <f t="shared" si="0"/>
        <v>99011039620.309341</v>
      </c>
      <c r="F27" s="11">
        <f t="shared" si="3"/>
        <v>11302630.093642619</v>
      </c>
      <c r="G27" s="59">
        <f>(F27*3)*'Cost Data'!$C$4+(F27*'Cost Data'!$C$5)+F27*'Cost Data'!$C$6</f>
        <v>84814936222.694214</v>
      </c>
      <c r="H27" s="59">
        <f>F27*'Cost Data'!$C$7</f>
        <v>29070364600.848816</v>
      </c>
    </row>
    <row r="28" spans="1:8" ht="79.8" x14ac:dyDescent="0.3">
      <c r="A28" s="8" t="s">
        <v>97</v>
      </c>
      <c r="B28">
        <v>4649.5</v>
      </c>
      <c r="C28">
        <f t="shared" si="1"/>
        <v>6070.8216058394164</v>
      </c>
      <c r="D28" s="9">
        <f t="shared" si="2"/>
        <v>2215849.8861313872</v>
      </c>
      <c r="E28" s="9">
        <f t="shared" si="0"/>
        <v>74031781791.587479</v>
      </c>
      <c r="F28" s="11">
        <f t="shared" si="3"/>
        <v>8451116.6428752821</v>
      </c>
      <c r="G28" s="59">
        <f>(F28*3)*'Cost Data'!$C$4+(F28*'Cost Data'!$C$5)+F28*'Cost Data'!$C$6</f>
        <v>63417179288.136116</v>
      </c>
      <c r="H28" s="59">
        <f>F28*'Cost Data'!$C$7</f>
        <v>21736272005.475227</v>
      </c>
    </row>
    <row r="29" spans="1:8" ht="79.8" x14ac:dyDescent="0.3">
      <c r="A29" s="8" t="s">
        <v>86</v>
      </c>
      <c r="B29">
        <v>7939.4</v>
      </c>
      <c r="C29">
        <f t="shared" si="1"/>
        <v>10366.422423357664</v>
      </c>
      <c r="D29" s="9">
        <f t="shared" si="2"/>
        <v>3783744.1845255475</v>
      </c>
      <c r="E29" s="9">
        <f t="shared" si="0"/>
        <v>126415298065.6263</v>
      </c>
      <c r="F29" s="11">
        <f t="shared" si="3"/>
        <v>14430970.098815788</v>
      </c>
      <c r="G29" s="59">
        <f>(F29*3)*'Cost Data'!$C$4+(F29*'Cost Data'!$C$5)+F29*'Cost Data'!$C$6</f>
        <v>108289999621.51367</v>
      </c>
      <c r="H29" s="59">
        <f>F29*'Cost Data'!$C$7</f>
        <v>37116455094.154205</v>
      </c>
    </row>
    <row r="30" spans="1:8" ht="79.8" x14ac:dyDescent="0.3">
      <c r="A30" s="8" t="s">
        <v>102</v>
      </c>
      <c r="B30">
        <v>2045.5</v>
      </c>
      <c r="C30">
        <f t="shared" si="1"/>
        <v>2670.7959124087592</v>
      </c>
      <c r="D30" s="9">
        <f t="shared" si="2"/>
        <v>974840.50802919711</v>
      </c>
      <c r="E30" s="9">
        <f t="shared" si="0"/>
        <v>32569525681.189838</v>
      </c>
      <c r="F30" s="11">
        <f t="shared" si="3"/>
        <v>3717982.3836974702</v>
      </c>
      <c r="G30" s="59">
        <f>(F30*3)*'Cost Data'!$C$4+(F30*'Cost Data'!$C$5)+F30*'Cost Data'!$C$6</f>
        <v>27899739807.265816</v>
      </c>
      <c r="H30" s="59">
        <f>F30*'Cost Data'!$C$7</f>
        <v>9562650690.869894</v>
      </c>
    </row>
    <row r="31" spans="1:8" ht="79.8" x14ac:dyDescent="0.3">
      <c r="A31" s="8" t="s">
        <v>87</v>
      </c>
      <c r="B31">
        <v>2261.6999999999998</v>
      </c>
      <c r="C31">
        <f t="shared" si="1"/>
        <v>2953.0868321167882</v>
      </c>
      <c r="D31" s="9">
        <f t="shared" si="2"/>
        <v>1077876.6937226276</v>
      </c>
      <c r="E31" s="9">
        <f t="shared" si="0"/>
        <v>36011975670.079224</v>
      </c>
      <c r="F31" s="11">
        <f t="shared" si="3"/>
        <v>4110956.1267213724</v>
      </c>
      <c r="G31" s="59">
        <f>(F31*3)*'Cost Data'!$C$4+(F31*'Cost Data'!$C$5)+F31*'Cost Data'!$C$6</f>
        <v>30848614774.917175</v>
      </c>
      <c r="H31" s="59">
        <f>F31*'Cost Data'!$C$7</f>
        <v>10573379157.92737</v>
      </c>
    </row>
    <row r="32" spans="1:8" ht="79.8" x14ac:dyDescent="0.3">
      <c r="A32" s="8" t="s">
        <v>109</v>
      </c>
      <c r="B32">
        <v>3263.2</v>
      </c>
      <c r="C32">
        <f t="shared" si="1"/>
        <v>4260.7388029197082</v>
      </c>
      <c r="D32" s="9">
        <f t="shared" si="2"/>
        <v>1555169.6630656936</v>
      </c>
      <c r="E32" s="9">
        <f t="shared" si="0"/>
        <v>51958384846.17878</v>
      </c>
      <c r="F32" s="11">
        <f t="shared" si="3"/>
        <v>5931322.4710249752</v>
      </c>
      <c r="G32" s="59">
        <f>(F32*3)*'Cost Data'!$C$4+(F32*'Cost Data'!$C$5)+F32*'Cost Data'!$C$6</f>
        <v>44508643822.571411</v>
      </c>
      <c r="H32" s="59">
        <f>F32*'Cost Data'!$C$7</f>
        <v>15255361395.476236</v>
      </c>
    </row>
    <row r="33" spans="1:15" ht="79.8" x14ac:dyDescent="0.3">
      <c r="A33" s="8" t="s">
        <v>65</v>
      </c>
      <c r="B33">
        <v>1527.6</v>
      </c>
      <c r="C33">
        <f t="shared" si="1"/>
        <v>1994.5772846715327</v>
      </c>
      <c r="D33" s="9">
        <f t="shared" si="2"/>
        <v>728020.70890510944</v>
      </c>
      <c r="E33" s="9">
        <f t="shared" si="0"/>
        <v>24323249782.735561</v>
      </c>
      <c r="F33" s="11">
        <f t="shared" si="3"/>
        <v>2776626.6875268905</v>
      </c>
      <c r="G33" s="59">
        <f>(F33*3)*'Cost Data'!$C$4+(F33*'Cost Data'!$C$5)+F33*'Cost Data'!$C$6</f>
        <v>20835806663.201786</v>
      </c>
      <c r="H33" s="59">
        <f>F33*'Cost Data'!$C$7</f>
        <v>7141483840.3191624</v>
      </c>
    </row>
    <row r="34" spans="1:15" ht="79.8" x14ac:dyDescent="0.3">
      <c r="A34" s="8" t="s">
        <v>70</v>
      </c>
      <c r="B34">
        <v>10171.799999999999</v>
      </c>
      <c r="C34">
        <f t="shared" si="1"/>
        <v>13281.252437956204</v>
      </c>
      <c r="D34" s="9">
        <f t="shared" si="2"/>
        <v>4847657.1398540139</v>
      </c>
      <c r="E34" s="9">
        <f t="shared" si="0"/>
        <v>161960743741.83658</v>
      </c>
      <c r="F34" s="11">
        <f t="shared" si="3"/>
        <v>18488669.376921985</v>
      </c>
      <c r="G34" s="59">
        <f>(F34*3)*'Cost Data'!$C$4+(F34*'Cost Data'!$C$5)+F34*'Cost Data'!$C$6</f>
        <v>138738975004.42258</v>
      </c>
      <c r="H34" s="59">
        <f>F34*'Cost Data'!$C$7</f>
        <v>47552857637.443344</v>
      </c>
    </row>
    <row r="35" spans="1:15" ht="79.8" x14ac:dyDescent="0.3">
      <c r="A35" s="8" t="s">
        <v>98</v>
      </c>
      <c r="B35">
        <v>2856.5</v>
      </c>
      <c r="C35">
        <f t="shared" si="1"/>
        <v>3729.7132846715331</v>
      </c>
      <c r="D35" s="9">
        <f t="shared" si="2"/>
        <v>1361345.3489051096</v>
      </c>
      <c r="E35" s="9">
        <f t="shared" si="0"/>
        <v>45482693770.872047</v>
      </c>
      <c r="F35" s="11">
        <f t="shared" si="3"/>
        <v>5192088.3300082246</v>
      </c>
      <c r="G35" s="59">
        <f>(F35*3)*'Cost Data'!$C$4+(F35*'Cost Data'!$C$5)+F35*'Cost Data'!$C$6</f>
        <v>38961430828.381714</v>
      </c>
      <c r="H35" s="59">
        <f>F35*'Cost Data'!$C$7</f>
        <v>13354051184.781153</v>
      </c>
    </row>
    <row r="36" spans="1:15" ht="79.8" x14ac:dyDescent="0.3">
      <c r="A36" s="8" t="s">
        <v>71</v>
      </c>
      <c r="B36">
        <v>15250.5</v>
      </c>
      <c r="C36">
        <f t="shared" si="1"/>
        <v>19912.477664233578</v>
      </c>
      <c r="D36" s="9">
        <f t="shared" si="2"/>
        <v>7268054.3474452561</v>
      </c>
      <c r="E36" s="9">
        <f t="shared" si="0"/>
        <v>242826473429.96121</v>
      </c>
      <c r="F36" s="11">
        <f t="shared" si="3"/>
        <v>27719917.05821475</v>
      </c>
      <c r="G36" s="59">
        <f>(F36*3)*'Cost Data'!$C$4+(F36*'Cost Data'!$C$5)+F36*'Cost Data'!$C$6</f>
        <v>208010257604.84348</v>
      </c>
      <c r="H36" s="59">
        <f>F36*'Cost Data'!$C$7</f>
        <v>71295626673.728333</v>
      </c>
    </row>
    <row r="37" spans="1:15" ht="79.8" x14ac:dyDescent="0.3">
      <c r="A37" s="8" t="s">
        <v>75</v>
      </c>
      <c r="B37">
        <v>12183.5</v>
      </c>
      <c r="C37">
        <f t="shared" si="1"/>
        <v>15907.91591240876</v>
      </c>
      <c r="D37" s="9">
        <f t="shared" si="2"/>
        <v>5806389.3080291972</v>
      </c>
      <c r="E37" s="9">
        <f t="shared" ref="E37:E55" si="4">D37*1000*$E$58</f>
        <v>193992088064.91144</v>
      </c>
      <c r="F37" s="11">
        <f t="shared" si="3"/>
        <v>22145215.532524135</v>
      </c>
      <c r="G37" s="59">
        <f>(F37*3)*'Cost Data'!$C$4+(F37*'Cost Data'!$C$5)+F37*'Cost Data'!$C$6</f>
        <v>166177697356.0611</v>
      </c>
      <c r="H37" s="59">
        <f>F37*'Cost Data'!$C$7</f>
        <v>56957494349.652077</v>
      </c>
    </row>
    <row r="38" spans="1:15" ht="79.8" x14ac:dyDescent="0.3">
      <c r="A38" s="8" t="s">
        <v>88</v>
      </c>
      <c r="B38">
        <v>1086.5</v>
      </c>
      <c r="C38">
        <f t="shared" si="1"/>
        <v>1418.6359124087592</v>
      </c>
      <c r="D38" s="9">
        <f t="shared" si="2"/>
        <v>517802.10802919709</v>
      </c>
      <c r="E38" s="9">
        <f t="shared" si="4"/>
        <v>17299823834.081036</v>
      </c>
      <c r="F38" s="11">
        <f t="shared" si="3"/>
        <v>1974865.7344841366</v>
      </c>
      <c r="G38" s="59">
        <f>(F38*3)*'Cost Data'!$C$4+(F38*'Cost Data'!$C$5)+F38*'Cost Data'!$C$6</f>
        <v>14819392471.56896</v>
      </c>
      <c r="H38" s="59">
        <f>F38*'Cost Data'!$C$7</f>
        <v>5079354669.0931997</v>
      </c>
    </row>
    <row r="39" spans="1:15" ht="66.599999999999994" x14ac:dyDescent="0.3">
      <c r="A39" s="8" t="s">
        <v>89</v>
      </c>
      <c r="B39">
        <v>13315.6</v>
      </c>
      <c r="C39">
        <f t="shared" si="1"/>
        <v>17386.091445255475</v>
      </c>
      <c r="D39" s="9">
        <f t="shared" si="2"/>
        <v>6345923.3775182487</v>
      </c>
      <c r="E39" s="9">
        <f t="shared" si="4"/>
        <v>212017979056.6861</v>
      </c>
      <c r="F39" s="11">
        <f t="shared" si="3"/>
        <v>24202965.645740423</v>
      </c>
      <c r="G39" s="59">
        <f>(F39*3)*'Cost Data'!$C$4+(F39*'Cost Data'!$C$5)+F39*'Cost Data'!$C$6</f>
        <v>181619054205.63614</v>
      </c>
      <c r="H39" s="59">
        <f>F39*'Cost Data'!$C$7</f>
        <v>62250027640.844368</v>
      </c>
    </row>
    <row r="40" spans="1:15" ht="79.8" x14ac:dyDescent="0.3">
      <c r="A40" s="8" t="s">
        <v>90</v>
      </c>
      <c r="B40">
        <v>5667.5</v>
      </c>
      <c r="C40">
        <f t="shared" si="1"/>
        <v>7400.0175182481753</v>
      </c>
      <c r="D40" s="9">
        <f t="shared" si="2"/>
        <v>2701006.3941605841</v>
      </c>
      <c r="E40" s="9">
        <f t="shared" si="4"/>
        <v>90240912636.589294</v>
      </c>
      <c r="F40" s="11">
        <f t="shared" si="3"/>
        <v>10301474.045272751</v>
      </c>
      <c r="G40" s="59">
        <f>(F40*3)*'Cost Data'!$C$4+(F40*'Cost Data'!$C$5)+F40*'Cost Data'!$C$6</f>
        <v>77302261235.726715</v>
      </c>
      <c r="H40" s="59">
        <f>F40*'Cost Data'!$C$7</f>
        <v>26495391244.441517</v>
      </c>
    </row>
    <row r="41" spans="1:15" ht="79.8" x14ac:dyDescent="0.3">
      <c r="A41" s="8" t="s">
        <v>110</v>
      </c>
      <c r="B41">
        <v>4274.7</v>
      </c>
      <c r="C41">
        <f t="shared" si="1"/>
        <v>5581.4477080291972</v>
      </c>
      <c r="D41" s="9">
        <f t="shared" si="2"/>
        <v>2037228.413430657</v>
      </c>
      <c r="E41" s="9">
        <f t="shared" si="4"/>
        <v>68064019276.158493</v>
      </c>
      <c r="F41" s="11">
        <f t="shared" si="3"/>
        <v>7769865.214173344</v>
      </c>
      <c r="G41" s="59">
        <f>(F41*3)*'Cost Data'!$C$4+(F41*'Cost Data'!$C$5)+F41*'Cost Data'!$C$6</f>
        <v>58305068567.156769</v>
      </c>
      <c r="H41" s="59">
        <f>F41*'Cost Data'!$C$7</f>
        <v>19984093330.85384</v>
      </c>
    </row>
    <row r="42" spans="1:15" ht="79.8" x14ac:dyDescent="0.3">
      <c r="A42" s="8" t="s">
        <v>72</v>
      </c>
      <c r="B42">
        <v>9571.4</v>
      </c>
      <c r="C42">
        <f t="shared" si="1"/>
        <v>12497.314102189781</v>
      </c>
      <c r="D42" s="9">
        <f t="shared" si="2"/>
        <v>4561519.6472992701</v>
      </c>
      <c r="E42" s="9">
        <f t="shared" si="4"/>
        <v>152400859498.87088</v>
      </c>
      <c r="F42" s="11">
        <f t="shared" si="3"/>
        <v>17397358.390282065</v>
      </c>
      <c r="G42" s="59">
        <f>(F42*3)*'Cost Data'!$C$4+(F42*'Cost Data'!$C$5)+F42*'Cost Data'!$C$6</f>
        <v>130549777360.67661</v>
      </c>
      <c r="H42" s="59">
        <f>F42*'Cost Data'!$C$7</f>
        <v>44746005779.805473</v>
      </c>
    </row>
    <row r="43" spans="1:15" ht="79.8" x14ac:dyDescent="0.3">
      <c r="A43" s="8" t="s">
        <v>66</v>
      </c>
      <c r="B43">
        <v>1869.1</v>
      </c>
      <c r="C43">
        <f t="shared" si="1"/>
        <v>2440.471591240876</v>
      </c>
      <c r="D43" s="9">
        <f t="shared" si="2"/>
        <v>890772.13080291974</v>
      </c>
      <c r="E43" s="9">
        <f t="shared" si="4"/>
        <v>29760792202.743549</v>
      </c>
      <c r="F43" s="11">
        <f t="shared" si="3"/>
        <v>3397350.7080757478</v>
      </c>
      <c r="G43" s="59">
        <f>(F43*3)*'Cost Data'!$C$4+(F43*'Cost Data'!$C$5)+F43*'Cost Data'!$C$6</f>
        <v>25493719713.400414</v>
      </c>
      <c r="H43" s="59">
        <f>F43*'Cost Data'!$C$7</f>
        <v>8737986021.1708241</v>
      </c>
    </row>
    <row r="44" spans="1:15" ht="79.8" x14ac:dyDescent="0.3">
      <c r="A44" s="8" t="s">
        <v>76</v>
      </c>
      <c r="B44">
        <v>7240.3</v>
      </c>
      <c r="C44">
        <f t="shared" si="1"/>
        <v>9453.6121459854021</v>
      </c>
      <c r="D44" s="9">
        <f t="shared" si="2"/>
        <v>3450568.433284672</v>
      </c>
      <c r="E44" s="9">
        <f t="shared" si="4"/>
        <v>115283860566.86325</v>
      </c>
      <c r="F44" s="11">
        <f t="shared" si="3"/>
        <v>13160258.055577997</v>
      </c>
      <c r="G44" s="59">
        <f>(F44*3)*'Cost Data'!$C$4+(F44*'Cost Data'!$C$5)+F44*'Cost Data'!$C$6</f>
        <v>98754576449.057297</v>
      </c>
      <c r="H44" s="59">
        <f>F44*'Cost Data'!$C$7</f>
        <v>33848183718.946609</v>
      </c>
    </row>
    <row r="45" spans="1:15" ht="79.8" x14ac:dyDescent="0.3">
      <c r="A45" s="8" t="s">
        <v>91</v>
      </c>
      <c r="B45">
        <v>1240.8</v>
      </c>
      <c r="C45">
        <f t="shared" si="1"/>
        <v>1620.104408759124</v>
      </c>
      <c r="D45" s="9">
        <f t="shared" si="2"/>
        <v>591338.10919708025</v>
      </c>
      <c r="E45" s="9">
        <f t="shared" si="4"/>
        <v>19756669501.452137</v>
      </c>
      <c r="F45" s="11">
        <f t="shared" si="3"/>
        <v>2255327.5686589195</v>
      </c>
      <c r="G45" s="59">
        <f>(F45*3)*'Cost Data'!$C$4+(F45*'Cost Data'!$C$5)+F45*'Cost Data'!$C$6</f>
        <v>16923978075.216532</v>
      </c>
      <c r="H45" s="59">
        <f>F45*'Cost Data'!$C$7</f>
        <v>5800702506.5907412</v>
      </c>
    </row>
    <row r="46" spans="1:15" ht="79.8" x14ac:dyDescent="0.3">
      <c r="A46" s="8" t="s">
        <v>92</v>
      </c>
      <c r="B46">
        <v>9633.7999999999993</v>
      </c>
      <c r="C46">
        <f t="shared" si="1"/>
        <v>12578.789372262772</v>
      </c>
      <c r="D46" s="9">
        <f t="shared" si="2"/>
        <v>4591258.1208759118</v>
      </c>
      <c r="E46" s="9">
        <f t="shared" si="4"/>
        <v>153394425083.08316</v>
      </c>
      <c r="F46" s="11">
        <f t="shared" si="3"/>
        <v>17510779.119073421</v>
      </c>
      <c r="G46" s="59">
        <f>(F46*3)*'Cost Data'!$C$4+(F46*'Cost Data'!$C$5)+F46*'Cost Data'!$C$6</f>
        <v>131400886509.52695</v>
      </c>
      <c r="H46" s="59">
        <f>F46*'Cost Data'!$C$7</f>
        <v>45037723894.256836</v>
      </c>
    </row>
    <row r="47" spans="1:15" ht="79.8" x14ac:dyDescent="0.3">
      <c r="A47" s="8" t="s">
        <v>99</v>
      </c>
      <c r="B47">
        <v>43505.5</v>
      </c>
      <c r="C47">
        <f t="shared" si="1"/>
        <v>56804.845547445257</v>
      </c>
      <c r="D47" s="9">
        <f t="shared" si="2"/>
        <v>20733768.62481752</v>
      </c>
      <c r="E47" s="9">
        <f t="shared" si="4"/>
        <v>692717428268.39624</v>
      </c>
      <c r="F47" s="11">
        <f t="shared" si="3"/>
        <v>79077331.994109154</v>
      </c>
      <c r="G47" s="59">
        <f>(F47*3)*'Cost Data'!$C$4+(F47*'Cost Data'!$C$5)+F47*'Cost Data'!$C$6</f>
        <v>593396299283.79517</v>
      </c>
      <c r="H47" s="59">
        <f>F47*'Cost Data'!$C$7</f>
        <v>203386897888.84875</v>
      </c>
    </row>
    <row r="48" spans="1:15" ht="66.599999999999994" x14ac:dyDescent="0.3">
      <c r="A48" s="8" t="s">
        <v>103</v>
      </c>
      <c r="B48">
        <v>3675.9</v>
      </c>
      <c r="C48">
        <f t="shared" si="1"/>
        <v>4799.5984817518247</v>
      </c>
      <c r="D48" s="9">
        <f t="shared" si="2"/>
        <v>1751853.445839416</v>
      </c>
      <c r="E48" s="9">
        <f t="shared" si="4"/>
        <v>58529611073.813599</v>
      </c>
      <c r="F48" s="11">
        <f t="shared" si="3"/>
        <v>6681462.4513485841</v>
      </c>
      <c r="G48" s="59">
        <f>(F48*3)*'Cost Data'!$C$4+(F48*'Cost Data'!$C$5)+F48*'Cost Data'!$C$6</f>
        <v>50137694234.919769</v>
      </c>
      <c r="H48" s="59">
        <f>F48*'Cost Data'!$C$7</f>
        <v>17184721424.868557</v>
      </c>
      <c r="O48" s="35"/>
    </row>
    <row r="49" spans="1:8" ht="79.8" x14ac:dyDescent="0.3">
      <c r="A49" s="8" t="s">
        <v>67</v>
      </c>
      <c r="B49">
        <v>844.5</v>
      </c>
      <c r="C49">
        <f t="shared" si="1"/>
        <v>1102.6581021897809</v>
      </c>
      <c r="D49" s="9">
        <f t="shared" si="2"/>
        <v>402470.20729927003</v>
      </c>
      <c r="E49" s="9">
        <f t="shared" si="4"/>
        <v>13446572690.180794</v>
      </c>
      <c r="F49" s="11">
        <f t="shared" si="3"/>
        <v>1534996.8824407298</v>
      </c>
      <c r="G49" s="59">
        <f>(F49*3)*'Cost Data'!$C$4+(F49*'Cost Data'!$C$5)+F49*'Cost Data'!$C$6</f>
        <v>11518616605.835236</v>
      </c>
      <c r="H49" s="59">
        <f>F49*'Cost Data'!$C$7</f>
        <v>3948011981.637557</v>
      </c>
    </row>
    <row r="50" spans="1:8" ht="79.8" x14ac:dyDescent="0.3">
      <c r="A50" s="8" t="s">
        <v>77</v>
      </c>
      <c r="B50">
        <v>9168</v>
      </c>
      <c r="C50">
        <f t="shared" si="1"/>
        <v>11970.597372262773</v>
      </c>
      <c r="D50" s="9">
        <f t="shared" si="2"/>
        <v>4369268.0408759126</v>
      </c>
      <c r="E50" s="9">
        <f t="shared" si="4"/>
        <v>145977712757.34464</v>
      </c>
      <c r="F50" s="11">
        <f t="shared" si="3"/>
        <v>16664122.460884091</v>
      </c>
      <c r="G50" s="59">
        <f>(F50*3)*'Cost Data'!$C$4+(F50*'Cost Data'!$C$5)+F50*'Cost Data'!$C$6</f>
        <v>125047574946.47421</v>
      </c>
      <c r="H50" s="59">
        <f>F50*'Cost Data'!$C$7</f>
        <v>42860122969.393883</v>
      </c>
    </row>
    <row r="51" spans="1:8" ht="79.8" x14ac:dyDescent="0.3">
      <c r="A51" s="8" t="s">
        <v>111</v>
      </c>
      <c r="B51">
        <v>7878</v>
      </c>
      <c r="C51">
        <f t="shared" si="1"/>
        <v>10286.252846715328</v>
      </c>
      <c r="D51" s="9">
        <f t="shared" si="2"/>
        <v>3754482.2890510946</v>
      </c>
      <c r="E51" s="9">
        <f t="shared" si="4"/>
        <v>125437655006.80202</v>
      </c>
      <c r="F51" s="11">
        <f t="shared" si="3"/>
        <v>14319367.009908905</v>
      </c>
      <c r="G51" s="59">
        <f>(F51*3)*'Cost Data'!$C$4+(F51*'Cost Data'!$C$5)+F51*'Cost Data'!$C$6</f>
        <v>107452530042.35643</v>
      </c>
      <c r="H51" s="59">
        <f>F51*'Cost Data'!$C$7</f>
        <v>36829411949.485703</v>
      </c>
    </row>
    <row r="52" spans="1:8" ht="79.8" x14ac:dyDescent="0.3">
      <c r="A52" s="8" t="s">
        <v>78</v>
      </c>
      <c r="B52">
        <v>2058.6</v>
      </c>
      <c r="C52">
        <f t="shared" si="1"/>
        <v>2687.9004963503648</v>
      </c>
      <c r="D52" s="9">
        <f t="shared" si="2"/>
        <v>981083.68116788322</v>
      </c>
      <c r="E52" s="9">
        <f t="shared" si="4"/>
        <v>32778110763.772865</v>
      </c>
      <c r="F52" s="11">
        <f t="shared" si="3"/>
        <v>3741793.4661841169</v>
      </c>
      <c r="G52" s="59">
        <f>(F52*3)*'Cost Data'!$C$4+(F52*'Cost Data'!$C$5)+F52*'Cost Data'!$C$6</f>
        <v>28078418170.245613</v>
      </c>
      <c r="H52" s="59">
        <f>F52*'Cost Data'!$C$7</f>
        <v>9623892795.0255489</v>
      </c>
    </row>
    <row r="53" spans="1:8" ht="79.8" x14ac:dyDescent="0.3">
      <c r="A53" s="8" t="s">
        <v>93</v>
      </c>
      <c r="B53">
        <v>6895.3</v>
      </c>
      <c r="C53">
        <f t="shared" si="1"/>
        <v>9003.14791240876</v>
      </c>
      <c r="D53" s="9">
        <f t="shared" si="2"/>
        <v>3286148.9880291973</v>
      </c>
      <c r="E53" s="9">
        <f t="shared" si="4"/>
        <v>109790589307.99721</v>
      </c>
      <c r="F53" s="11">
        <f t="shared" si="3"/>
        <v>12533172.295433471</v>
      </c>
      <c r="G53" s="59">
        <f>(F53*3)*'Cost Data'!$C$4+(F53*'Cost Data'!$C$5)+F53*'Cost Data'!$C$6</f>
        <v>94048924904.93277</v>
      </c>
      <c r="H53" s="59">
        <f>F53*'Cost Data'!$C$7</f>
        <v>32235319143.854889</v>
      </c>
    </row>
    <row r="54" spans="1:8" ht="79.8" x14ac:dyDescent="0.3">
      <c r="A54" s="8" t="s">
        <v>104</v>
      </c>
      <c r="B54">
        <v>1030.4000000000001</v>
      </c>
      <c r="C54">
        <f t="shared" si="1"/>
        <v>1345.3865109489052</v>
      </c>
      <c r="D54" s="9">
        <f t="shared" si="2"/>
        <v>491066.0764963504</v>
      </c>
      <c r="E54" s="9">
        <f t="shared" si="4"/>
        <v>16406570159.813253</v>
      </c>
      <c r="F54" s="11">
        <f t="shared" si="3"/>
        <v>1872896.1369649833</v>
      </c>
      <c r="G54" s="59">
        <f>(F54*3)*'Cost Data'!$C$4+(F54*'Cost Data'!$C$5)+F54*'Cost Data'!$C$6</f>
        <v>14054212611.785236</v>
      </c>
      <c r="H54" s="59">
        <f>F54*'Cost Data'!$C$7</f>
        <v>4817088864.2739372</v>
      </c>
    </row>
    <row r="55" spans="1:8" s="36" customFormat="1" ht="66.599999999999994" x14ac:dyDescent="0.3">
      <c r="A55" s="60" t="s">
        <v>61</v>
      </c>
      <c r="B55" s="36">
        <v>374602.1</v>
      </c>
      <c r="C55">
        <f t="shared" si="1"/>
        <v>489115.50108029193</v>
      </c>
      <c r="D55" s="9">
        <f t="shared" si="2"/>
        <v>178527157.89430654</v>
      </c>
      <c r="E55" s="61">
        <f t="shared" si="4"/>
        <v>5964611447654.6768</v>
      </c>
      <c r="F55" s="62">
        <f>E55/8760</f>
        <v>680891717.76879871</v>
      </c>
      <c r="G55" s="59">
        <f>(F55*3)*'Cost Data'!$C$4+(F55*'Cost Data'!$C$5)+F55*'Cost Data'!$C$6</f>
        <v>5109411450137.0654</v>
      </c>
      <c r="H55" s="59">
        <f>F55*'Cost Data'!$C$7</f>
        <v>1751253498101.3503</v>
      </c>
    </row>
    <row r="56" spans="1:8" ht="28.8" x14ac:dyDescent="0.3">
      <c r="A56" s="7"/>
      <c r="B56" s="10">
        <v>43281</v>
      </c>
      <c r="C56" s="10"/>
      <c r="D56" s="11" t="s">
        <v>113</v>
      </c>
      <c r="E56" s="12" t="s">
        <v>228</v>
      </c>
    </row>
    <row r="58" spans="1:8" x14ac:dyDescent="0.3">
      <c r="D58" s="9" t="s">
        <v>226</v>
      </c>
      <c r="E58">
        <v>33.410107000000004</v>
      </c>
      <c r="F58" t="s">
        <v>227</v>
      </c>
    </row>
  </sheetData>
  <sortState xmlns:xlrd2="http://schemas.microsoft.com/office/spreadsheetml/2017/richdata2" ref="A5:E56">
    <sortCondition ref="A5:A56"/>
  </sortState>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A002-4DCE-449F-9703-12C561E1C692}">
  <dimension ref="B3:B19"/>
  <sheetViews>
    <sheetView workbookViewId="0">
      <selection activeCell="S23" sqref="S23"/>
    </sheetView>
  </sheetViews>
  <sheetFormatPr defaultRowHeight="14.4" x14ac:dyDescent="0.3"/>
  <sheetData>
    <row r="3" spans="2:2" x14ac:dyDescent="0.3">
      <c r="B3" s="147" t="s">
        <v>495</v>
      </c>
    </row>
    <row r="5" spans="2:2" ht="15.6" x14ac:dyDescent="0.3">
      <c r="B5" s="147" t="s">
        <v>496</v>
      </c>
    </row>
    <row r="7" spans="2:2" ht="15.6" x14ac:dyDescent="0.3">
      <c r="B7" s="148" t="s">
        <v>497</v>
      </c>
    </row>
    <row r="9" spans="2:2" ht="15.6" x14ac:dyDescent="0.3">
      <c r="B9" s="148" t="s">
        <v>498</v>
      </c>
    </row>
    <row r="11" spans="2:2" x14ac:dyDescent="0.3">
      <c r="B11" s="148" t="s">
        <v>499</v>
      </c>
    </row>
    <row r="13" spans="2:2" x14ac:dyDescent="0.3">
      <c r="B13" s="148" t="s">
        <v>500</v>
      </c>
    </row>
    <row r="15" spans="2:2" x14ac:dyDescent="0.3">
      <c r="B15" s="148" t="s">
        <v>501</v>
      </c>
    </row>
    <row r="17" spans="2:2" x14ac:dyDescent="0.3">
      <c r="B17" s="148" t="s">
        <v>502</v>
      </c>
    </row>
    <row r="19" spans="2:2" x14ac:dyDescent="0.3">
      <c r="B19" s="148" t="s">
        <v>503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7C773-DFD5-4A06-B014-383048CFED77}">
  <dimension ref="A2:L55"/>
  <sheetViews>
    <sheetView workbookViewId="0">
      <selection activeCell="M8" sqref="M8"/>
    </sheetView>
  </sheetViews>
  <sheetFormatPr defaultRowHeight="14.4" x14ac:dyDescent="0.3"/>
  <cols>
    <col min="2" max="2" width="12.77734375" customWidth="1"/>
    <col min="4" max="4" width="14.33203125" customWidth="1"/>
    <col min="5" max="5" width="14.109375" customWidth="1"/>
    <col min="6" max="6" width="12" bestFit="1" customWidth="1"/>
    <col min="7" max="7" width="9.6640625" customWidth="1"/>
    <col min="8" max="8" width="20.44140625" style="35" customWidth="1"/>
    <col min="9" max="9" width="19.5546875" style="66" customWidth="1"/>
    <col min="12" max="12" width="13.77734375" customWidth="1"/>
  </cols>
  <sheetData>
    <row r="2" spans="1:12" ht="15.6" x14ac:dyDescent="0.3">
      <c r="B2" t="s">
        <v>505</v>
      </c>
      <c r="H2" s="146" t="s">
        <v>504</v>
      </c>
    </row>
    <row r="3" spans="1:12" x14ac:dyDescent="0.3">
      <c r="L3" s="12"/>
    </row>
    <row r="4" spans="1:12" s="12" customFormat="1" ht="43.2" x14ac:dyDescent="0.3">
      <c r="A4" s="13" t="s">
        <v>114</v>
      </c>
      <c r="B4" s="15" t="s">
        <v>115</v>
      </c>
      <c r="C4" s="63">
        <v>42916</v>
      </c>
      <c r="D4" s="12" t="s">
        <v>242</v>
      </c>
      <c r="E4" s="12" t="s">
        <v>237</v>
      </c>
      <c r="F4" s="12" t="s">
        <v>238</v>
      </c>
      <c r="G4" s="12" t="s">
        <v>239</v>
      </c>
      <c r="H4" s="59" t="s">
        <v>240</v>
      </c>
      <c r="I4" s="65" t="s">
        <v>241</v>
      </c>
    </row>
    <row r="5" spans="1:12" ht="66.599999999999994" x14ac:dyDescent="0.3">
      <c r="A5" s="14" t="s">
        <v>118</v>
      </c>
      <c r="B5" s="8" t="s">
        <v>119</v>
      </c>
      <c r="C5">
        <v>669088</v>
      </c>
      <c r="D5">
        <f t="shared" ref="D5:D54" si="0">1015*C5</f>
        <v>679124320</v>
      </c>
      <c r="E5">
        <f t="shared" ref="E5:E54" si="1">(D5/3412)*10^6</f>
        <v>199039953106.68231</v>
      </c>
      <c r="F5" s="64">
        <f t="shared" ref="F5:F54" si="2">E5/8760</f>
        <v>22721455.834096156</v>
      </c>
      <c r="G5">
        <f t="shared" ref="G5:G54" si="3">F5*3</f>
        <v>68164367.502288461</v>
      </c>
      <c r="H5" s="35">
        <f>(G5*'Cost Data'!$C$4)+(F5*'Cost Data'!$C$5)+(F5*'Cost Data'!$C$6)</f>
        <v>170501804579.05753</v>
      </c>
      <c r="I5" s="66">
        <f>F5*'Cost Data'!$C$7</f>
        <v>58439584405.295311</v>
      </c>
    </row>
    <row r="6" spans="1:12" ht="66.599999999999994" x14ac:dyDescent="0.3">
      <c r="A6" s="14" t="s">
        <v>120</v>
      </c>
      <c r="B6" s="16" t="s">
        <v>121</v>
      </c>
      <c r="C6">
        <v>345941</v>
      </c>
      <c r="D6">
        <f t="shared" si="0"/>
        <v>351130115</v>
      </c>
      <c r="E6">
        <f t="shared" si="1"/>
        <v>102910350234.46658</v>
      </c>
      <c r="F6" s="64">
        <f t="shared" si="2"/>
        <v>11747756.87608066</v>
      </c>
      <c r="G6">
        <f t="shared" si="3"/>
        <v>35243270.628241979</v>
      </c>
      <c r="H6" s="35">
        <f>(G6*'Cost Data'!$C$4)+(F6*'Cost Data'!$C$5)+(F6*'Cost Data'!$C$6)</f>
        <v>88155167598.109268</v>
      </c>
      <c r="I6" s="66">
        <f>F6*'Cost Data'!$C$7</f>
        <v>30215230685.279457</v>
      </c>
    </row>
    <row r="7" spans="1:12" ht="66.599999999999994" x14ac:dyDescent="0.3">
      <c r="A7" s="14" t="s">
        <v>122</v>
      </c>
      <c r="B7" s="16" t="s">
        <v>123</v>
      </c>
      <c r="C7">
        <v>321638</v>
      </c>
      <c r="D7">
        <f t="shared" si="0"/>
        <v>326462570</v>
      </c>
      <c r="E7">
        <f t="shared" si="1"/>
        <v>95680706330.5979</v>
      </c>
      <c r="F7" s="64">
        <f t="shared" si="2"/>
        <v>10922455.060570536</v>
      </c>
      <c r="G7">
        <f t="shared" si="3"/>
        <v>32767365.181711607</v>
      </c>
      <c r="H7" s="35">
        <f>(G7*'Cost Data'!$C$4)+(F7*'Cost Data'!$C$5)+(F7*'Cost Data'!$C$6)</f>
        <v>81962102774.521301</v>
      </c>
      <c r="I7" s="66">
        <f>F7*'Cost Data'!$C$7</f>
        <v>28092554415.787418</v>
      </c>
    </row>
    <row r="8" spans="1:12" ht="66.599999999999994" x14ac:dyDescent="0.3">
      <c r="A8" s="14" t="s">
        <v>124</v>
      </c>
      <c r="B8" s="16" t="s">
        <v>125</v>
      </c>
      <c r="C8">
        <v>317684</v>
      </c>
      <c r="D8">
        <f t="shared" si="0"/>
        <v>322449260</v>
      </c>
      <c r="E8">
        <f t="shared" si="1"/>
        <v>94504472450.175842</v>
      </c>
      <c r="F8" s="64">
        <f t="shared" si="2"/>
        <v>10788181.786549754</v>
      </c>
      <c r="G8">
        <f t="shared" si="3"/>
        <v>32364545.359649263</v>
      </c>
      <c r="H8" s="35">
        <f>(G8*'Cost Data'!$C$4)+(F8*'Cost Data'!$C$5)+(F8*'Cost Data'!$C$6)</f>
        <v>80954516126.269363</v>
      </c>
      <c r="I8" s="66">
        <f>F8*'Cost Data'!$C$7</f>
        <v>27747203555.00597</v>
      </c>
    </row>
    <row r="9" spans="1:12" ht="66.599999999999994" x14ac:dyDescent="0.3">
      <c r="A9" s="14" t="s">
        <v>126</v>
      </c>
      <c r="B9" s="16" t="s">
        <v>127</v>
      </c>
      <c r="C9">
        <v>2110829</v>
      </c>
      <c r="D9">
        <f t="shared" si="0"/>
        <v>2142491435</v>
      </c>
      <c r="E9">
        <f t="shared" si="1"/>
        <v>627928322098.47595</v>
      </c>
      <c r="F9" s="64">
        <f t="shared" si="2"/>
        <v>71681315.308045194</v>
      </c>
      <c r="G9">
        <f t="shared" si="3"/>
        <v>215043945.92413557</v>
      </c>
      <c r="H9" s="35">
        <f>(G9*'Cost Data'!$C$4)+(F9*'Cost Data'!$C$5)+(F9*'Cost Data'!$C$6)</f>
        <v>537896590071.57111</v>
      </c>
      <c r="I9" s="66">
        <f>F9*'Cost Data'!$C$7</f>
        <v>184364342972.29224</v>
      </c>
    </row>
    <row r="10" spans="1:12" ht="66.599999999999994" x14ac:dyDescent="0.3">
      <c r="A10" s="14" t="s">
        <v>128</v>
      </c>
      <c r="B10" s="16" t="s">
        <v>129</v>
      </c>
      <c r="C10">
        <v>438697</v>
      </c>
      <c r="D10">
        <f t="shared" si="0"/>
        <v>445277455</v>
      </c>
      <c r="E10">
        <f t="shared" si="1"/>
        <v>130503357268.46425</v>
      </c>
      <c r="F10" s="64">
        <f t="shared" si="2"/>
        <v>14897643.523797289</v>
      </c>
      <c r="G10">
        <f t="shared" si="3"/>
        <v>44692930.571391866</v>
      </c>
      <c r="H10" s="35">
        <f>(G10*'Cost Data'!$C$4)+(F10*'Cost Data'!$C$5)+(F10*'Cost Data'!$C$6)</f>
        <v>111791917002.57484</v>
      </c>
      <c r="I10" s="66">
        <f>F10*'Cost Data'!$C$7</f>
        <v>38316739143.206627</v>
      </c>
    </row>
    <row r="11" spans="1:12" ht="66.599999999999994" x14ac:dyDescent="0.3">
      <c r="A11" s="14" t="s">
        <v>130</v>
      </c>
      <c r="B11" s="16" t="s">
        <v>131</v>
      </c>
      <c r="C11">
        <v>238151</v>
      </c>
      <c r="D11">
        <f t="shared" si="0"/>
        <v>241723265</v>
      </c>
      <c r="E11">
        <f t="shared" si="1"/>
        <v>70845036635.404449</v>
      </c>
      <c r="F11" s="64">
        <f t="shared" si="2"/>
        <v>8087332.9492470836</v>
      </c>
      <c r="G11">
        <f t="shared" si="3"/>
        <v>24261998.84774125</v>
      </c>
      <c r="H11" s="35">
        <f>(G11*'Cost Data'!$C$4)+(F11*'Cost Data'!$C$5)+(F11*'Cost Data'!$C$6)</f>
        <v>60687346451.150116</v>
      </c>
      <c r="I11" s="66">
        <f>F11*'Cost Data'!$C$7</f>
        <v>20800620345.463501</v>
      </c>
    </row>
    <row r="12" spans="1:12" ht="66.599999999999994" x14ac:dyDescent="0.3">
      <c r="A12" s="14" t="s">
        <v>132</v>
      </c>
      <c r="B12" s="16" t="s">
        <v>133</v>
      </c>
      <c r="C12">
        <v>99781</v>
      </c>
      <c r="D12">
        <f t="shared" si="0"/>
        <v>101277715</v>
      </c>
      <c r="E12">
        <f t="shared" si="1"/>
        <v>29682800410.316528</v>
      </c>
      <c r="F12" s="64">
        <f t="shared" si="2"/>
        <v>3388447.5354242614</v>
      </c>
      <c r="G12">
        <f t="shared" si="3"/>
        <v>10165342.606272783</v>
      </c>
      <c r="H12" s="35">
        <f>(G12*'Cost Data'!$C$4)+(F12*'Cost Data'!$C$5)+(F12*'Cost Data'!$C$6)</f>
        <v>25426910305.823658</v>
      </c>
      <c r="I12" s="66">
        <f>F12*'Cost Data'!$C$7</f>
        <v>8715087061.1112003</v>
      </c>
    </row>
    <row r="13" spans="1:12" ht="66.599999999999994" x14ac:dyDescent="0.3">
      <c r="A13" s="14" t="s">
        <v>134</v>
      </c>
      <c r="B13" s="16" t="s">
        <v>135</v>
      </c>
      <c r="C13">
        <v>1394213</v>
      </c>
      <c r="D13">
        <f t="shared" si="0"/>
        <v>1415126195</v>
      </c>
      <c r="E13">
        <f t="shared" si="1"/>
        <v>414749764067.9953</v>
      </c>
      <c r="F13" s="64">
        <f t="shared" si="2"/>
        <v>47345863.478081658</v>
      </c>
      <c r="G13">
        <f t="shared" si="3"/>
        <v>142037590.43424499</v>
      </c>
      <c r="H13" s="35">
        <f>(G13*'Cost Data'!$C$4)+(F13*'Cost Data'!$C$5)+(F13*'Cost Data'!$C$6)</f>
        <v>355283359539.52478</v>
      </c>
      <c r="I13" s="66">
        <f>F13*'Cost Data'!$C$7</f>
        <v>121773560865.62602</v>
      </c>
    </row>
    <row r="14" spans="1:12" ht="66.599999999999994" x14ac:dyDescent="0.3">
      <c r="A14" s="14" t="s">
        <v>136</v>
      </c>
      <c r="B14" s="16" t="s">
        <v>137</v>
      </c>
      <c r="C14">
        <v>695941</v>
      </c>
      <c r="D14">
        <f t="shared" si="0"/>
        <v>706380115</v>
      </c>
      <c r="E14">
        <f t="shared" si="1"/>
        <v>207028169695.19345</v>
      </c>
      <c r="F14" s="64">
        <f t="shared" si="2"/>
        <v>23633352.70493076</v>
      </c>
      <c r="G14">
        <f t="shared" si="3"/>
        <v>70900058.114792287</v>
      </c>
      <c r="H14" s="35">
        <f>(G14*'Cost Data'!$C$4)+(F14*'Cost Data'!$C$5)+(F14*'Cost Data'!$C$6)</f>
        <v>177344678697.80042</v>
      </c>
      <c r="I14" s="66">
        <f>F14*'Cost Data'!$C$7</f>
        <v>60784983157.081917</v>
      </c>
    </row>
    <row r="15" spans="1:12" ht="66.599999999999994" x14ac:dyDescent="0.3">
      <c r="A15" s="14" t="s">
        <v>138</v>
      </c>
      <c r="B15" s="16" t="s">
        <v>139</v>
      </c>
      <c r="C15">
        <v>3106</v>
      </c>
      <c r="D15">
        <f t="shared" si="0"/>
        <v>3152590</v>
      </c>
      <c r="E15">
        <f t="shared" si="1"/>
        <v>923971277.84290743</v>
      </c>
      <c r="F15" s="64">
        <f t="shared" si="2"/>
        <v>105476.1732697383</v>
      </c>
      <c r="G15">
        <f t="shared" si="3"/>
        <v>316428.51980921486</v>
      </c>
      <c r="H15" s="35">
        <f>(G15*'Cost Data'!$C$4)+(F15*'Cost Data'!$C$5)+(F15*'Cost Data'!$C$6)</f>
        <v>791493204.21611607</v>
      </c>
      <c r="I15" s="66">
        <f>F15*'Cost Data'!$C$7</f>
        <v>271284717.64976692</v>
      </c>
    </row>
    <row r="16" spans="1:12" ht="53.4" x14ac:dyDescent="0.3">
      <c r="A16" s="14" t="s">
        <v>140</v>
      </c>
      <c r="B16" s="16" t="s">
        <v>141</v>
      </c>
      <c r="C16">
        <v>110737</v>
      </c>
      <c r="D16">
        <f t="shared" si="0"/>
        <v>112398055</v>
      </c>
      <c r="E16">
        <f t="shared" si="1"/>
        <v>32941985638.921455</v>
      </c>
      <c r="F16" s="64">
        <f t="shared" si="2"/>
        <v>3760500.643712495</v>
      </c>
      <c r="G16">
        <f t="shared" si="3"/>
        <v>11281501.931137485</v>
      </c>
      <c r="H16" s="35">
        <f>(G16*'Cost Data'!$C$4)+(F16*'Cost Data'!$C$5)+(F16*'Cost Data'!$C$6)</f>
        <v>28218796830.418564</v>
      </c>
      <c r="I16" s="66">
        <f>F16*'Cost Data'!$C$7</f>
        <v>9672007655.6285362</v>
      </c>
    </row>
    <row r="17" spans="1:9" ht="66.599999999999994" x14ac:dyDescent="0.3">
      <c r="A17" s="14" t="s">
        <v>142</v>
      </c>
      <c r="B17" s="16" t="s">
        <v>143</v>
      </c>
      <c r="C17">
        <v>992869</v>
      </c>
      <c r="D17">
        <f t="shared" si="0"/>
        <v>1007762035</v>
      </c>
      <c r="E17">
        <f t="shared" si="1"/>
        <v>295358157971.86401</v>
      </c>
      <c r="F17" s="64">
        <f t="shared" si="2"/>
        <v>33716684.699984476</v>
      </c>
      <c r="G17">
        <f t="shared" si="3"/>
        <v>101150054.09995343</v>
      </c>
      <c r="H17" s="35">
        <f>(G17*'Cost Data'!$C$4)+(F17*'Cost Data'!$C$5)+(F17*'Cost Data'!$C$6)</f>
        <v>253010001988.6835</v>
      </c>
      <c r="I17" s="66">
        <f>F17*'Cost Data'!$C$7</f>
        <v>86719313048.360077</v>
      </c>
    </row>
    <row r="18" spans="1:9" ht="66.599999999999994" x14ac:dyDescent="0.3">
      <c r="A18" s="14" t="s">
        <v>144</v>
      </c>
      <c r="B18" s="16" t="s">
        <v>145</v>
      </c>
      <c r="C18">
        <v>739636</v>
      </c>
      <c r="D18">
        <f t="shared" si="0"/>
        <v>750730540</v>
      </c>
      <c r="E18">
        <f t="shared" si="1"/>
        <v>220026535756.15475</v>
      </c>
      <c r="F18" s="64">
        <f t="shared" si="2"/>
        <v>25117184.447049629</v>
      </c>
      <c r="G18">
        <f t="shared" si="3"/>
        <v>75351553.341148883</v>
      </c>
      <c r="H18" s="35">
        <f>(G18*'Cost Data'!$C$4)+(F18*'Cost Data'!$C$5)+(F18*'Cost Data'!$C$6)</f>
        <v>188479352090.6604</v>
      </c>
      <c r="I18" s="66">
        <f>F18*'Cost Data'!$C$7</f>
        <v>64601398397.811646</v>
      </c>
    </row>
    <row r="19" spans="1:9" ht="53.4" x14ac:dyDescent="0.3">
      <c r="A19" s="14" t="s">
        <v>146</v>
      </c>
      <c r="B19" s="16" t="s">
        <v>147</v>
      </c>
      <c r="C19">
        <v>389462</v>
      </c>
      <c r="D19">
        <f t="shared" si="0"/>
        <v>395303930</v>
      </c>
      <c r="E19">
        <f t="shared" si="1"/>
        <v>115856954865.18172</v>
      </c>
      <c r="F19" s="64">
        <f t="shared" si="2"/>
        <v>13225679.779130332</v>
      </c>
      <c r="G19">
        <f t="shared" si="3"/>
        <v>39677039.337390997</v>
      </c>
      <c r="H19" s="35">
        <f>(G19*'Cost Data'!$C$4)+(F19*'Cost Data'!$C$5)+(F19*'Cost Data'!$C$6)</f>
        <v>99245501062.594009</v>
      </c>
      <c r="I19" s="66">
        <f>F19*'Cost Data'!$C$7</f>
        <v>34016448391.923214</v>
      </c>
    </row>
    <row r="20" spans="1:9" ht="66.599999999999994" x14ac:dyDescent="0.3">
      <c r="A20" s="14" t="s">
        <v>148</v>
      </c>
      <c r="B20" s="16" t="s">
        <v>149</v>
      </c>
      <c r="C20">
        <v>272145</v>
      </c>
      <c r="D20">
        <f t="shared" si="0"/>
        <v>276227175</v>
      </c>
      <c r="E20">
        <f t="shared" si="1"/>
        <v>80957554220.39859</v>
      </c>
      <c r="F20" s="64">
        <f t="shared" si="2"/>
        <v>9241729.9338354561</v>
      </c>
      <c r="G20">
        <f t="shared" si="3"/>
        <v>27725189.80150637</v>
      </c>
      <c r="H20" s="35">
        <f>(G20*'Cost Data'!$C$4)+(F20*'Cost Data'!$C$5)+(F20*'Cost Data'!$C$6)</f>
        <v>69349941423.501266</v>
      </c>
      <c r="I20" s="66">
        <f>F20*'Cost Data'!$C$7</f>
        <v>23769729389.824795</v>
      </c>
    </row>
    <row r="21" spans="1:9" ht="66.599999999999994" x14ac:dyDescent="0.3">
      <c r="A21" s="14" t="s">
        <v>150</v>
      </c>
      <c r="B21" s="16" t="s">
        <v>151</v>
      </c>
      <c r="C21">
        <v>287575</v>
      </c>
      <c r="D21">
        <f t="shared" si="0"/>
        <v>291888625</v>
      </c>
      <c r="E21">
        <f t="shared" si="1"/>
        <v>85547662661.19577</v>
      </c>
      <c r="F21" s="64">
        <f t="shared" si="2"/>
        <v>9765714.9156616181</v>
      </c>
      <c r="G21">
        <f t="shared" si="3"/>
        <v>29297144.746984854</v>
      </c>
      <c r="H21" s="35">
        <f>(G21*'Cost Data'!$C$4)+(F21*'Cost Data'!$C$5)+(F21*'Cost Data'!$C$6)</f>
        <v>73281924727.124786</v>
      </c>
      <c r="I21" s="66">
        <f>F21*'Cost Data'!$C$7</f>
        <v>25117418763.08168</v>
      </c>
    </row>
    <row r="22" spans="1:9" ht="66.599999999999994" x14ac:dyDescent="0.3">
      <c r="A22" s="14" t="s">
        <v>152</v>
      </c>
      <c r="B22" s="16" t="s">
        <v>153</v>
      </c>
      <c r="C22">
        <v>1587234</v>
      </c>
      <c r="D22">
        <f t="shared" si="0"/>
        <v>1611042510</v>
      </c>
      <c r="E22">
        <f t="shared" si="1"/>
        <v>472169551582.64948</v>
      </c>
      <c r="F22" s="64">
        <f t="shared" si="2"/>
        <v>53900633.742311582</v>
      </c>
      <c r="G22">
        <f t="shared" si="3"/>
        <v>161701901.22693473</v>
      </c>
      <c r="H22" s="35">
        <f>(G22*'Cost Data'!$C$4)+(F22*'Cost Data'!$C$5)+(F22*'Cost Data'!$C$6)</f>
        <v>404470355602.30609</v>
      </c>
      <c r="I22" s="66">
        <f>F22*'Cost Data'!$C$7</f>
        <v>138632429985.2254</v>
      </c>
    </row>
    <row r="23" spans="1:9" ht="66.599999999999994" x14ac:dyDescent="0.3">
      <c r="A23" s="14" t="s">
        <v>154</v>
      </c>
      <c r="B23" s="16" t="s">
        <v>155</v>
      </c>
      <c r="C23">
        <v>49140</v>
      </c>
      <c r="D23">
        <f t="shared" si="0"/>
        <v>49877100</v>
      </c>
      <c r="E23">
        <f t="shared" si="1"/>
        <v>14618141852.286049</v>
      </c>
      <c r="F23" s="64">
        <f t="shared" si="2"/>
        <v>1668737.6543705536</v>
      </c>
      <c r="G23">
        <f t="shared" si="3"/>
        <v>5006212.9631116604</v>
      </c>
      <c r="H23" s="35">
        <f>(G23*'Cost Data'!$C$4)+(F23*'Cost Data'!$C$5)+(F23*'Cost Data'!$C$6)</f>
        <v>12522207358.396635</v>
      </c>
      <c r="I23" s="66">
        <f>F23*'Cost Data'!$C$7</f>
        <v>4291993247.0410638</v>
      </c>
    </row>
    <row r="24" spans="1:9" ht="66.599999999999994" x14ac:dyDescent="0.3">
      <c r="A24" s="14" t="s">
        <v>156</v>
      </c>
      <c r="B24" s="16" t="s">
        <v>157</v>
      </c>
      <c r="C24">
        <v>223251</v>
      </c>
      <c r="D24">
        <f t="shared" si="0"/>
        <v>226599765</v>
      </c>
      <c r="E24">
        <f t="shared" si="1"/>
        <v>66412592321.219231</v>
      </c>
      <c r="F24" s="64">
        <f t="shared" si="2"/>
        <v>7581346.1553903231</v>
      </c>
      <c r="G24">
        <f t="shared" si="3"/>
        <v>22744038.46617097</v>
      </c>
      <c r="H24" s="35">
        <f>(G24*'Cost Data'!$C$4)+(F24*'Cost Data'!$C$5)+(F24*'Cost Data'!$C$6)</f>
        <v>56890421550.048988</v>
      </c>
      <c r="I24" s="66">
        <f>F24*'Cost Data'!$C$7</f>
        <v>19499222311.66391</v>
      </c>
    </row>
    <row r="25" spans="1:9" ht="66.599999999999994" x14ac:dyDescent="0.3">
      <c r="A25" s="14" t="s">
        <v>158</v>
      </c>
      <c r="B25" s="16" t="s">
        <v>159</v>
      </c>
      <c r="C25">
        <v>449463</v>
      </c>
      <c r="D25">
        <f t="shared" si="0"/>
        <v>456204945</v>
      </c>
      <c r="E25">
        <f t="shared" si="1"/>
        <v>133706021395.07622</v>
      </c>
      <c r="F25" s="64">
        <f t="shared" si="2"/>
        <v>15263244.451492719</v>
      </c>
      <c r="G25">
        <f t="shared" si="3"/>
        <v>45789733.354478158</v>
      </c>
      <c r="H25" s="35">
        <f>(G25*'Cost Data'!$C$4)+(F25*'Cost Data'!$C$5)+(F25*'Cost Data'!$C$6)</f>
        <v>114535386364.00136</v>
      </c>
      <c r="I25" s="66">
        <f>F25*'Cost Data'!$C$7</f>
        <v>39257064729.239273</v>
      </c>
    </row>
    <row r="26" spans="1:9" ht="66.599999999999994" x14ac:dyDescent="0.3">
      <c r="A26" s="14" t="s">
        <v>160</v>
      </c>
      <c r="B26" s="16" t="s">
        <v>161</v>
      </c>
      <c r="C26">
        <v>874167</v>
      </c>
      <c r="D26">
        <f t="shared" si="0"/>
        <v>887279505</v>
      </c>
      <c r="E26">
        <f t="shared" si="1"/>
        <v>260046748241.50058</v>
      </c>
      <c r="F26" s="64">
        <f t="shared" si="2"/>
        <v>29685701.854052577</v>
      </c>
      <c r="G26">
        <f t="shared" si="3"/>
        <v>89057105.562157735</v>
      </c>
      <c r="H26" s="35">
        <f>(G26*'Cost Data'!$C$4)+(F26*'Cost Data'!$C$5)+(F26*'Cost Data'!$C$6)</f>
        <v>222761506712.81055</v>
      </c>
      <c r="I26" s="66">
        <f>F26*'Cost Data'!$C$7</f>
        <v>76351625168.62323</v>
      </c>
    </row>
    <row r="27" spans="1:9" ht="66.599999999999994" x14ac:dyDescent="0.3">
      <c r="A27" s="14" t="s">
        <v>162</v>
      </c>
      <c r="B27" s="16" t="s">
        <v>163</v>
      </c>
      <c r="C27">
        <v>461356</v>
      </c>
      <c r="D27">
        <f t="shared" si="0"/>
        <v>468276340</v>
      </c>
      <c r="E27">
        <f t="shared" si="1"/>
        <v>137243944900.3517</v>
      </c>
      <c r="F27" s="64">
        <f t="shared" si="2"/>
        <v>15667116.997757044</v>
      </c>
      <c r="G27">
        <f t="shared" si="3"/>
        <v>47001350.993271127</v>
      </c>
      <c r="H27" s="35">
        <f>(G27*'Cost Data'!$C$4)+(F27*'Cost Data'!$C$5)+(F27*'Cost Data'!$C$6)</f>
        <v>117566045951.16884</v>
      </c>
      <c r="I27" s="66">
        <f>F27*'Cost Data'!$C$7</f>
        <v>40295824918.231117</v>
      </c>
    </row>
    <row r="28" spans="1:9" ht="66.599999999999994" x14ac:dyDescent="0.3">
      <c r="A28" s="14" t="s">
        <v>164</v>
      </c>
      <c r="B28" s="16" t="s">
        <v>165</v>
      </c>
      <c r="C28">
        <v>533010</v>
      </c>
      <c r="D28">
        <f t="shared" si="0"/>
        <v>541005150</v>
      </c>
      <c r="E28">
        <f t="shared" si="1"/>
        <v>158559539859.32004</v>
      </c>
      <c r="F28" s="64">
        <f t="shared" si="2"/>
        <v>18100404.093529686</v>
      </c>
      <c r="G28">
        <f t="shared" si="3"/>
        <v>54301212.280589059</v>
      </c>
      <c r="H28" s="35">
        <f>(G28*'Cost Data'!$C$4)+(F28*'Cost Data'!$C$5)+(F28*'Cost Data'!$C$6)</f>
        <v>135825432317.84677</v>
      </c>
      <c r="I28" s="66">
        <f>F28*'Cost Data'!$C$7</f>
        <v>46554239328.55835</v>
      </c>
    </row>
    <row r="29" spans="1:9" ht="66.599999999999994" x14ac:dyDescent="0.3">
      <c r="A29" s="14" t="s">
        <v>166</v>
      </c>
      <c r="B29" s="16" t="s">
        <v>167</v>
      </c>
      <c r="C29">
        <v>259993</v>
      </c>
      <c r="D29">
        <f t="shared" si="0"/>
        <v>263892895</v>
      </c>
      <c r="E29">
        <f t="shared" si="1"/>
        <v>77342583528.722153</v>
      </c>
      <c r="F29" s="64">
        <f t="shared" si="2"/>
        <v>8829062.0466577802</v>
      </c>
      <c r="G29">
        <f t="shared" si="3"/>
        <v>26487186.139973342</v>
      </c>
      <c r="H29" s="35">
        <f>(G29*'Cost Data'!$C$4)+(F29*'Cost Data'!$C$5)+(F29*'Cost Data'!$C$6)</f>
        <v>66253281598.119987</v>
      </c>
      <c r="I29" s="66">
        <f>F29*'Cost Data'!$C$7</f>
        <v>22708347584.003811</v>
      </c>
    </row>
    <row r="30" spans="1:9" ht="66.599999999999994" x14ac:dyDescent="0.3">
      <c r="A30" s="14" t="s">
        <v>168</v>
      </c>
      <c r="B30" s="16" t="s">
        <v>169</v>
      </c>
      <c r="C30">
        <v>80404</v>
      </c>
      <c r="D30">
        <f t="shared" si="0"/>
        <v>81610060</v>
      </c>
      <c r="E30">
        <f t="shared" si="1"/>
        <v>23918540445.486515</v>
      </c>
      <c r="F30" s="64">
        <f t="shared" si="2"/>
        <v>2730426.9914938943</v>
      </c>
      <c r="G30">
        <f t="shared" si="3"/>
        <v>8191280.9744816832</v>
      </c>
      <c r="H30" s="35">
        <f>(G30*'Cost Data'!$C$4)+(F30*'Cost Data'!$C$5)+(F30*'Cost Data'!$C$6)</f>
        <v>20489124144.170181</v>
      </c>
      <c r="I30" s="66">
        <f>F30*'Cost Data'!$C$7</f>
        <v>7022658222.1222963</v>
      </c>
    </row>
    <row r="31" spans="1:9" ht="66.599999999999994" x14ac:dyDescent="0.3">
      <c r="A31" s="14" t="s">
        <v>170</v>
      </c>
      <c r="B31" s="16" t="s">
        <v>171</v>
      </c>
      <c r="C31">
        <v>165607</v>
      </c>
      <c r="D31">
        <f t="shared" si="0"/>
        <v>168091105</v>
      </c>
      <c r="E31">
        <f t="shared" si="1"/>
        <v>49264684935.52169</v>
      </c>
      <c r="F31" s="64">
        <f t="shared" si="2"/>
        <v>5623822.4812239371</v>
      </c>
      <c r="G31">
        <f t="shared" si="3"/>
        <v>16871467.443671811</v>
      </c>
      <c r="H31" s="35">
        <f>(G31*'Cost Data'!$C$4)+(F31*'Cost Data'!$C$5)+(F31*'Cost Data'!$C$6)</f>
        <v>42201163899.104424</v>
      </c>
      <c r="I31" s="66">
        <f>F31*'Cost Data'!$C$7</f>
        <v>14464471421.707966</v>
      </c>
    </row>
    <row r="32" spans="1:9" ht="66.599999999999994" x14ac:dyDescent="0.3">
      <c r="A32" s="14" t="s">
        <v>172</v>
      </c>
      <c r="B32" s="16" t="s">
        <v>173</v>
      </c>
      <c r="C32">
        <v>295001</v>
      </c>
      <c r="D32">
        <f t="shared" si="0"/>
        <v>299426015</v>
      </c>
      <c r="E32">
        <f t="shared" si="1"/>
        <v>87756745310.668243</v>
      </c>
      <c r="F32" s="64">
        <f t="shared" si="2"/>
        <v>10017893.300304594</v>
      </c>
      <c r="G32">
        <f t="shared" si="3"/>
        <v>30053679.900913782</v>
      </c>
      <c r="H32" s="35">
        <f>(G32*'Cost Data'!$C$4)+(F32*'Cost Data'!$C$5)+(F32*'Cost Data'!$C$6)</f>
        <v>75174271325.485687</v>
      </c>
      <c r="I32" s="66">
        <f>F32*'Cost Data'!$C$7</f>
        <v>25766021568.383415</v>
      </c>
    </row>
    <row r="33" spans="1:9" ht="79.8" x14ac:dyDescent="0.3">
      <c r="A33" s="14" t="s">
        <v>174</v>
      </c>
      <c r="B33" s="16" t="s">
        <v>175</v>
      </c>
      <c r="C33">
        <v>52183</v>
      </c>
      <c r="D33">
        <f t="shared" si="0"/>
        <v>52965745</v>
      </c>
      <c r="E33">
        <f t="shared" si="1"/>
        <v>15523371922.626026</v>
      </c>
      <c r="F33" s="64">
        <f t="shared" si="2"/>
        <v>1772074.4203910988</v>
      </c>
      <c r="G33">
        <f t="shared" si="3"/>
        <v>5316223.2611732967</v>
      </c>
      <c r="H33" s="35">
        <f>(G33*'Cost Data'!$C$4)+(F33*'Cost Data'!$C$5)+(F33*'Cost Data'!$C$6)</f>
        <v>13297646450.614805</v>
      </c>
      <c r="I33" s="66">
        <f>F33*'Cost Data'!$C$7</f>
        <v>4557775409.2459059</v>
      </c>
    </row>
    <row r="34" spans="1:9" ht="66.599999999999994" x14ac:dyDescent="0.3">
      <c r="A34" s="14" t="s">
        <v>176</v>
      </c>
      <c r="B34" s="16" t="s">
        <v>177</v>
      </c>
      <c r="C34">
        <v>709185</v>
      </c>
      <c r="D34">
        <f t="shared" si="0"/>
        <v>719822775</v>
      </c>
      <c r="E34">
        <f t="shared" si="1"/>
        <v>210967987983.58734</v>
      </c>
      <c r="F34" s="64">
        <f t="shared" si="2"/>
        <v>24083103.651094444</v>
      </c>
      <c r="G34">
        <f t="shared" si="3"/>
        <v>72249310.95328334</v>
      </c>
      <c r="H34" s="35">
        <f>(G34*'Cost Data'!$C$4)+(F34*'Cost Data'!$C$5)+(F34*'Cost Data'!$C$6)</f>
        <v>180719609797.81274</v>
      </c>
      <c r="I34" s="66">
        <f>F34*'Cost Data'!$C$7</f>
        <v>61941742590.614914</v>
      </c>
    </row>
    <row r="35" spans="1:9" ht="66.599999999999994" x14ac:dyDescent="0.3">
      <c r="A35" s="14" t="s">
        <v>178</v>
      </c>
      <c r="B35" s="16" t="s">
        <v>179</v>
      </c>
      <c r="C35">
        <v>239990</v>
      </c>
      <c r="D35">
        <f t="shared" si="0"/>
        <v>243589850</v>
      </c>
      <c r="E35">
        <f t="shared" si="1"/>
        <v>71392101406.79953</v>
      </c>
      <c r="F35" s="64">
        <f t="shared" si="2"/>
        <v>8149783.2656163843</v>
      </c>
      <c r="G35">
        <f t="shared" si="3"/>
        <v>24449349.796849154</v>
      </c>
      <c r="H35" s="35">
        <f>(G35*'Cost Data'!$C$4)+(F35*'Cost Data'!$C$5)+(F35*'Cost Data'!$C$6)</f>
        <v>61155973625.185349</v>
      </c>
      <c r="I35" s="66">
        <f>F35*'Cost Data'!$C$7</f>
        <v>20961242559.16534</v>
      </c>
    </row>
    <row r="36" spans="1:9" ht="66.599999999999994" x14ac:dyDescent="0.3">
      <c r="A36" s="14" t="s">
        <v>180</v>
      </c>
      <c r="B36" s="16" t="s">
        <v>181</v>
      </c>
      <c r="C36">
        <v>1255344</v>
      </c>
      <c r="D36">
        <f t="shared" si="0"/>
        <v>1274174160</v>
      </c>
      <c r="E36">
        <f t="shared" si="1"/>
        <v>373439085580.30481</v>
      </c>
      <c r="F36" s="64">
        <f t="shared" si="2"/>
        <v>42630032.600491419</v>
      </c>
      <c r="G36">
        <f t="shared" si="3"/>
        <v>127890097.80147426</v>
      </c>
      <c r="H36" s="35">
        <f>(G36*'Cost Data'!$C$4)+(F36*'Cost Data'!$C$5)+(F36*'Cost Data'!$C$6)</f>
        <v>319895764634.08759</v>
      </c>
      <c r="I36" s="66">
        <f>F36*'Cost Data'!$C$7</f>
        <v>109644443848.46393</v>
      </c>
    </row>
    <row r="37" spans="1:9" ht="79.8" x14ac:dyDescent="0.3">
      <c r="A37" s="14" t="s">
        <v>182</v>
      </c>
      <c r="B37" s="16" t="s">
        <v>183</v>
      </c>
      <c r="C37">
        <v>509440</v>
      </c>
      <c r="D37">
        <f t="shared" si="0"/>
        <v>517081600</v>
      </c>
      <c r="E37">
        <f t="shared" si="1"/>
        <v>151547948417.35052</v>
      </c>
      <c r="F37" s="64">
        <f t="shared" si="2"/>
        <v>17299994.111569695</v>
      </c>
      <c r="G37">
        <f t="shared" si="3"/>
        <v>51899982.334709086</v>
      </c>
      <c r="H37" s="35">
        <f>(G37*'Cost Data'!$C$4)+(F37*'Cost Data'!$C$5)+(F37*'Cost Data'!$C$6)</f>
        <v>129819155813.21899</v>
      </c>
      <c r="I37" s="66">
        <f>F37*'Cost Data'!$C$7</f>
        <v>44495584854.957253</v>
      </c>
    </row>
    <row r="38" spans="1:9" ht="66.599999999999994" x14ac:dyDescent="0.3">
      <c r="A38" s="14" t="s">
        <v>184</v>
      </c>
      <c r="B38" s="16" t="s">
        <v>185</v>
      </c>
      <c r="C38">
        <v>112230</v>
      </c>
      <c r="D38">
        <f t="shared" si="0"/>
        <v>113913450</v>
      </c>
      <c r="E38">
        <f t="shared" si="1"/>
        <v>33386122508.7925</v>
      </c>
      <c r="F38" s="64">
        <f t="shared" si="2"/>
        <v>3811201.199633847</v>
      </c>
      <c r="G38">
        <f t="shared" si="3"/>
        <v>11433603.59890154</v>
      </c>
      <c r="H38" s="35">
        <f>(G38*'Cost Data'!$C$4)+(F38*'Cost Data'!$C$5)+(F38*'Cost Data'!$C$6)</f>
        <v>28599253802.052383</v>
      </c>
      <c r="I38" s="66">
        <f>F38*'Cost Data'!$C$7</f>
        <v>9802409485.4582539</v>
      </c>
    </row>
    <row r="39" spans="1:9" ht="53.4" x14ac:dyDescent="0.3">
      <c r="A39" s="14" t="s">
        <v>186</v>
      </c>
      <c r="B39" s="16" t="s">
        <v>187</v>
      </c>
      <c r="C39">
        <v>946911</v>
      </c>
      <c r="D39">
        <f t="shared" si="0"/>
        <v>961114665</v>
      </c>
      <c r="E39">
        <f t="shared" si="1"/>
        <v>281686595838.21808</v>
      </c>
      <c r="F39" s="64">
        <f t="shared" si="2"/>
        <v>32156004.091120787</v>
      </c>
      <c r="G39">
        <f t="shared" si="3"/>
        <v>96468012.273362368</v>
      </c>
      <c r="H39" s="35">
        <f>(G39*'Cost Data'!$C$4)+(F39*'Cost Data'!$C$5)+(F39*'Cost Data'!$C$6)</f>
        <v>241298654699.77042</v>
      </c>
      <c r="I39" s="66">
        <f>F39*'Cost Data'!$C$7</f>
        <v>82705242522.362671</v>
      </c>
    </row>
    <row r="40" spans="1:9" ht="66.599999999999994" x14ac:dyDescent="0.3">
      <c r="A40" s="14" t="s">
        <v>188</v>
      </c>
      <c r="B40" s="16" t="s">
        <v>189</v>
      </c>
      <c r="C40">
        <v>670777</v>
      </c>
      <c r="D40">
        <f t="shared" si="0"/>
        <v>680838655</v>
      </c>
      <c r="E40">
        <f t="shared" si="1"/>
        <v>199542395955.45135</v>
      </c>
      <c r="F40" s="64">
        <f t="shared" si="2"/>
        <v>22778812.32368166</v>
      </c>
      <c r="G40">
        <f t="shared" si="3"/>
        <v>68336436.971044987</v>
      </c>
      <c r="H40" s="35">
        <f>(G40*'Cost Data'!$C$4)+(F40*'Cost Data'!$C$5)+(F40*'Cost Data'!$C$6)</f>
        <v>170932207676.9072</v>
      </c>
      <c r="I40" s="66">
        <f>F40*'Cost Data'!$C$7</f>
        <v>58587105296.509232</v>
      </c>
    </row>
    <row r="41" spans="1:9" ht="66.599999999999994" x14ac:dyDescent="0.3">
      <c r="A41" s="14" t="s">
        <v>190</v>
      </c>
      <c r="B41" s="16" t="s">
        <v>191</v>
      </c>
      <c r="C41">
        <v>231727</v>
      </c>
      <c r="D41">
        <f t="shared" si="0"/>
        <v>235202905</v>
      </c>
      <c r="E41">
        <f t="shared" si="1"/>
        <v>68934028429.073868</v>
      </c>
      <c r="F41" s="64">
        <f t="shared" si="2"/>
        <v>7869181.327519848</v>
      </c>
      <c r="G41">
        <f t="shared" si="3"/>
        <v>23607543.982559543</v>
      </c>
      <c r="H41" s="35">
        <f>(G41*'Cost Data'!$C$4)+(F41*'Cost Data'!$C$5)+(F41*'Cost Data'!$C$6)</f>
        <v>59050336681.708939</v>
      </c>
      <c r="I41" s="66">
        <f>F41*'Cost Data'!$C$7</f>
        <v>20239534374.38105</v>
      </c>
    </row>
    <row r="42" spans="1:9" ht="66.599999999999994" x14ac:dyDescent="0.3">
      <c r="A42" s="14" t="s">
        <v>192</v>
      </c>
      <c r="B42" s="16" t="s">
        <v>193</v>
      </c>
      <c r="C42">
        <v>1263972</v>
      </c>
      <c r="D42">
        <f t="shared" si="0"/>
        <v>1282931580</v>
      </c>
      <c r="E42">
        <f t="shared" si="1"/>
        <v>376005738569.75385</v>
      </c>
      <c r="F42" s="64">
        <f t="shared" si="2"/>
        <v>42923029.517095186</v>
      </c>
      <c r="G42">
        <f t="shared" si="3"/>
        <v>128769088.55128556</v>
      </c>
      <c r="H42" s="35">
        <f>(G42*'Cost Data'!$C$4)+(F42*'Cost Data'!$C$5)+(F42*'Cost Data'!$C$6)</f>
        <v>322094413496.28229</v>
      </c>
      <c r="I42" s="66">
        <f>F42*'Cost Data'!$C$7</f>
        <v>110398031917.96881</v>
      </c>
    </row>
    <row r="43" spans="1:9" ht="66.599999999999994" x14ac:dyDescent="0.3">
      <c r="A43" s="14" t="s">
        <v>194</v>
      </c>
      <c r="B43" s="16" t="s">
        <v>195</v>
      </c>
      <c r="C43">
        <v>82389</v>
      </c>
      <c r="D43">
        <f t="shared" si="0"/>
        <v>83624835</v>
      </c>
      <c r="E43">
        <f t="shared" si="1"/>
        <v>24509037221.570927</v>
      </c>
      <c r="F43" s="64">
        <f t="shared" si="2"/>
        <v>2797835.2992660874</v>
      </c>
      <c r="G43">
        <f t="shared" si="3"/>
        <v>8393505.8977982625</v>
      </c>
      <c r="H43" s="35">
        <f>(G43*'Cost Data'!$C$4)+(F43*'Cost Data'!$C$5)+(F43*'Cost Data'!$C$6)</f>
        <v>20994956085.692722</v>
      </c>
      <c r="I43" s="66">
        <f>F43*'Cost Data'!$C$7</f>
        <v>7196032389.7123766</v>
      </c>
    </row>
    <row r="44" spans="1:9" ht="79.8" x14ac:dyDescent="0.3">
      <c r="A44" s="14" t="s">
        <v>196</v>
      </c>
      <c r="B44" s="16" t="s">
        <v>197</v>
      </c>
      <c r="C44">
        <v>276513</v>
      </c>
      <c r="D44">
        <f t="shared" si="0"/>
        <v>280660695</v>
      </c>
      <c r="E44">
        <f t="shared" si="1"/>
        <v>82256944607.268463</v>
      </c>
      <c r="F44" s="64">
        <f t="shared" si="2"/>
        <v>9390062.1697795056</v>
      </c>
      <c r="G44">
        <f t="shared" si="3"/>
        <v>28170186.509338517</v>
      </c>
      <c r="H44" s="35">
        <f>(G44*'Cost Data'!$C$4)+(F44*'Cost Data'!$C$5)+(F44*'Cost Data'!$C$6)</f>
        <v>70463026522.025421</v>
      </c>
      <c r="I44" s="66">
        <f>F44*'Cost Data'!$C$7</f>
        <v>24151239900.67289</v>
      </c>
    </row>
    <row r="45" spans="1:9" ht="79.8" x14ac:dyDescent="0.3">
      <c r="A45" s="14" t="s">
        <v>198</v>
      </c>
      <c r="B45" s="16" t="s">
        <v>199</v>
      </c>
      <c r="C45">
        <v>81484</v>
      </c>
      <c r="D45">
        <f t="shared" si="0"/>
        <v>82706260</v>
      </c>
      <c r="E45">
        <f t="shared" si="1"/>
        <v>24239818288.393906</v>
      </c>
      <c r="F45" s="64">
        <f t="shared" si="2"/>
        <v>2767102.5443372037</v>
      </c>
      <c r="G45">
        <f t="shared" si="3"/>
        <v>8301307.6330116112</v>
      </c>
      <c r="H45" s="35">
        <f>(G45*'Cost Data'!$C$4)+(F45*'Cost Data'!$C$5)+(F45*'Cost Data'!$C$6)</f>
        <v>20764337492.706379</v>
      </c>
      <c r="I45" s="66">
        <f>F45*'Cost Data'!$C$7</f>
        <v>7116987744.0352879</v>
      </c>
    </row>
    <row r="46" spans="1:9" ht="66.599999999999994" x14ac:dyDescent="0.3">
      <c r="A46" s="14" t="s">
        <v>200</v>
      </c>
      <c r="B46" s="16" t="s">
        <v>201</v>
      </c>
      <c r="C46">
        <v>323540</v>
      </c>
      <c r="D46">
        <f t="shared" si="0"/>
        <v>328393100</v>
      </c>
      <c r="E46">
        <f t="shared" si="1"/>
        <v>96246512309.495895</v>
      </c>
      <c r="F46" s="64">
        <f t="shared" si="2"/>
        <v>10987044.784189029</v>
      </c>
      <c r="G46">
        <f t="shared" si="3"/>
        <v>32961134.352567084</v>
      </c>
      <c r="H46" s="35">
        <f>(G46*'Cost Data'!$C$4)+(F46*'Cost Data'!$C$5)+(F46*'Cost Data'!$C$6)</f>
        <v>82446784060.554474</v>
      </c>
      <c r="I46" s="66">
        <f>F46*'Cost Data'!$C$7</f>
        <v>28258679184.934181</v>
      </c>
    </row>
    <row r="47" spans="1:9" ht="66.599999999999994" x14ac:dyDescent="0.3">
      <c r="A47" s="14" t="s">
        <v>202</v>
      </c>
      <c r="B47" s="16" t="s">
        <v>203</v>
      </c>
      <c r="C47">
        <v>3886571</v>
      </c>
      <c r="D47">
        <f t="shared" si="0"/>
        <v>3944869565</v>
      </c>
      <c r="E47">
        <f t="shared" si="1"/>
        <v>1156175136283.7046</v>
      </c>
      <c r="F47" s="64">
        <f t="shared" si="2"/>
        <v>131983463.046085</v>
      </c>
      <c r="G47">
        <f t="shared" si="3"/>
        <v>395950389.138255</v>
      </c>
      <c r="H47" s="35">
        <f>(G47*'Cost Data'!$C$4)+(F47*'Cost Data'!$C$5)+(F47*'Cost Data'!$C$6)</f>
        <v>990403906697.82178</v>
      </c>
      <c r="I47" s="66">
        <f>F47*'Cost Data'!$C$7</f>
        <v>339461466954.53064</v>
      </c>
    </row>
    <row r="48" spans="1:9" ht="53.4" x14ac:dyDescent="0.3">
      <c r="A48" s="14" t="s">
        <v>204</v>
      </c>
      <c r="B48" s="16" t="s">
        <v>205</v>
      </c>
      <c r="C48">
        <v>222088</v>
      </c>
      <c r="D48">
        <f t="shared" si="0"/>
        <v>225419320</v>
      </c>
      <c r="E48">
        <f t="shared" si="1"/>
        <v>66066623681.125435</v>
      </c>
      <c r="F48" s="64">
        <f t="shared" si="2"/>
        <v>7541852.0183933144</v>
      </c>
      <c r="G48">
        <f t="shared" si="3"/>
        <v>22625556.055179942</v>
      </c>
      <c r="H48" s="35">
        <f>(G48*'Cost Data'!$C$4)+(F48*'Cost Data'!$C$5)+(F48*'Cost Data'!$C$6)</f>
        <v>56594057546.02343</v>
      </c>
      <c r="I48" s="66">
        <f>F48*'Cost Data'!$C$7</f>
        <v>19397643391.307606</v>
      </c>
    </row>
    <row r="49" spans="1:9" ht="66.599999999999994" x14ac:dyDescent="0.3">
      <c r="A49" s="14" t="s">
        <v>206</v>
      </c>
      <c r="B49" s="16" t="s">
        <v>207</v>
      </c>
      <c r="C49">
        <v>11930</v>
      </c>
      <c r="D49">
        <f t="shared" si="0"/>
        <v>12108950</v>
      </c>
      <c r="E49">
        <f t="shared" si="1"/>
        <v>3548930246.189918</v>
      </c>
      <c r="F49" s="64">
        <f t="shared" si="2"/>
        <v>405129.02353766188</v>
      </c>
      <c r="G49">
        <f t="shared" si="3"/>
        <v>1215387.0706129856</v>
      </c>
      <c r="H49" s="35">
        <f>(G49*'Cost Data'!$C$4)+(F49*'Cost Data'!$C$5)+(F49*'Cost Data'!$C$6)</f>
        <v>3040088192.6266146</v>
      </c>
      <c r="I49" s="66">
        <f>F49*'Cost Data'!$C$7</f>
        <v>1041991848.5388664</v>
      </c>
    </row>
    <row r="50" spans="1:9" ht="66.599999999999994" x14ac:dyDescent="0.3">
      <c r="A50" s="14" t="s">
        <v>208</v>
      </c>
      <c r="B50" s="16" t="s">
        <v>209</v>
      </c>
      <c r="C50">
        <v>582394</v>
      </c>
      <c r="D50">
        <f t="shared" si="0"/>
        <v>591129910</v>
      </c>
      <c r="E50">
        <f t="shared" si="1"/>
        <v>173250266705.74445</v>
      </c>
      <c r="F50" s="64">
        <f t="shared" si="2"/>
        <v>19777427.70613521</v>
      </c>
      <c r="G50">
        <f t="shared" si="3"/>
        <v>59332283.118405625</v>
      </c>
      <c r="H50" s="35">
        <f>(G50*'Cost Data'!$C$4)+(F50*'Cost Data'!$C$5)+(F50*'Cost Data'!$C$6)</f>
        <v>148409817506.83859</v>
      </c>
      <c r="I50" s="66">
        <f>F50*'Cost Data'!$C$7</f>
        <v>50867544060.179756</v>
      </c>
    </row>
    <row r="51" spans="1:9" ht="66.599999999999994" x14ac:dyDescent="0.3">
      <c r="A51" s="14" t="s">
        <v>210</v>
      </c>
      <c r="B51" s="16" t="s">
        <v>211</v>
      </c>
      <c r="C51">
        <v>321898</v>
      </c>
      <c r="D51">
        <f t="shared" si="0"/>
        <v>326726470</v>
      </c>
      <c r="E51">
        <f t="shared" si="1"/>
        <v>95758050996.483002</v>
      </c>
      <c r="F51" s="64">
        <f t="shared" si="2"/>
        <v>10931284.36032911</v>
      </c>
      <c r="G51">
        <f t="shared" si="3"/>
        <v>32793853.080987331</v>
      </c>
      <c r="H51" s="35">
        <f>(G51*'Cost Data'!$C$4)+(F51*'Cost Data'!$C$5)+(F51*'Cost Data'!$C$6)</f>
        <v>82028357839.909637</v>
      </c>
      <c r="I51" s="66">
        <f>F51*'Cost Data'!$C$7</f>
        <v>28115263374.766472</v>
      </c>
    </row>
    <row r="52" spans="1:9" ht="66.599999999999994" x14ac:dyDescent="0.3">
      <c r="A52" s="14" t="s">
        <v>212</v>
      </c>
      <c r="B52" s="16" t="s">
        <v>213</v>
      </c>
      <c r="C52">
        <v>188194</v>
      </c>
      <c r="D52">
        <f t="shared" si="0"/>
        <v>191016910</v>
      </c>
      <c r="E52">
        <f t="shared" si="1"/>
        <v>55983854044.548653</v>
      </c>
      <c r="F52" s="64">
        <f t="shared" si="2"/>
        <v>6390850.9183274722</v>
      </c>
      <c r="G52">
        <f t="shared" si="3"/>
        <v>19172552.754982416</v>
      </c>
      <c r="H52" s="35">
        <f>(G52*'Cost Data'!$C$4)+(F52*'Cost Data'!$C$5)+(F52*'Cost Data'!$C$6)</f>
        <v>47956945291.129356</v>
      </c>
      <c r="I52" s="66">
        <f>F52*'Cost Data'!$C$7</f>
        <v>16437268561.938259</v>
      </c>
    </row>
    <row r="53" spans="1:9" ht="66.599999999999994" x14ac:dyDescent="0.3">
      <c r="A53" s="14" t="s">
        <v>214</v>
      </c>
      <c r="B53" s="16" t="s">
        <v>215</v>
      </c>
      <c r="C53">
        <v>484559</v>
      </c>
      <c r="D53">
        <f t="shared" si="0"/>
        <v>491827385</v>
      </c>
      <c r="E53">
        <f t="shared" si="1"/>
        <v>144146361371.62955</v>
      </c>
      <c r="F53" s="64">
        <f t="shared" si="2"/>
        <v>16455064.083519354</v>
      </c>
      <c r="G53">
        <f t="shared" si="3"/>
        <v>49365192.250558063</v>
      </c>
      <c r="H53" s="35">
        <f>(G53*'Cost Data'!$C$4)+(F53*'Cost Data'!$C$5)+(F53*'Cost Data'!$C$6)</f>
        <v>123478800882.72923</v>
      </c>
      <c r="I53" s="66">
        <f>F53*'Cost Data'!$C$7</f>
        <v>42322424822.811783</v>
      </c>
    </row>
    <row r="54" spans="1:9" ht="66.599999999999994" x14ac:dyDescent="0.3">
      <c r="A54" s="14" t="s">
        <v>216</v>
      </c>
      <c r="B54" s="16" t="s">
        <v>217</v>
      </c>
      <c r="C54">
        <v>126368</v>
      </c>
      <c r="D54">
        <f t="shared" si="0"/>
        <v>128263520</v>
      </c>
      <c r="E54">
        <f t="shared" si="1"/>
        <v>37591887456.037514</v>
      </c>
      <c r="F54" s="64">
        <f t="shared" si="2"/>
        <v>4291311.3534289403</v>
      </c>
      <c r="G54">
        <f t="shared" si="3"/>
        <v>12873934.06028682</v>
      </c>
      <c r="H54" s="35">
        <f>(G54*'Cost Data'!$C$4)+(F54*'Cost Data'!$C$5)+(F54*'Cost Data'!$C$6)</f>
        <v>32202000396.130768</v>
      </c>
      <c r="I54" s="66">
        <f>F54*'Cost Data'!$C$7</f>
        <v>11037252801.019234</v>
      </c>
    </row>
    <row r="55" spans="1:9" ht="53.4" x14ac:dyDescent="0.3">
      <c r="A55" s="14" t="s">
        <v>116</v>
      </c>
      <c r="B55" s="16" t="s">
        <v>117</v>
      </c>
      <c r="C55">
        <v>27110271</v>
      </c>
      <c r="D55">
        <f>1015*C55</f>
        <v>27516925065</v>
      </c>
      <c r="E55">
        <f>(D55/3412)*10^6</f>
        <v>8064749432883.9385</v>
      </c>
      <c r="F55" s="64">
        <f>E55/8760</f>
        <v>920633496.90455914</v>
      </c>
      <c r="G55">
        <f>F55*3</f>
        <v>2761900490.7136774</v>
      </c>
      <c r="H55" s="35">
        <f>(G55*'Cost Data'!$C$4)+(F55*'Cost Data'!$C$5)+(F55*'Cost Data'!$C$6)</f>
        <v>6908433760771.8125</v>
      </c>
      <c r="I55" s="66">
        <f>F55*'Cost Data'!$C$7</f>
        <v>2367869354038.5259</v>
      </c>
    </row>
  </sheetData>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5DB8D-E342-498D-88DB-3D17727AA027}">
  <dimension ref="B2:B31"/>
  <sheetViews>
    <sheetView topLeftCell="B1" workbookViewId="0">
      <selection activeCell="B24" sqref="B24"/>
    </sheetView>
  </sheetViews>
  <sheetFormatPr defaultRowHeight="14.4" x14ac:dyDescent="0.3"/>
  <sheetData>
    <row r="2" spans="2:2" x14ac:dyDescent="0.3">
      <c r="B2" s="147" t="s">
        <v>506</v>
      </c>
    </row>
    <row r="4" spans="2:2" x14ac:dyDescent="0.3">
      <c r="B4" s="147" t="s">
        <v>507</v>
      </c>
    </row>
    <row r="6" spans="2:2" x14ac:dyDescent="0.3">
      <c r="B6" s="148" t="s">
        <v>508</v>
      </c>
    </row>
    <row r="8" spans="2:2" x14ac:dyDescent="0.3">
      <c r="B8" s="148" t="s">
        <v>509</v>
      </c>
    </row>
    <row r="10" spans="2:2" x14ac:dyDescent="0.3">
      <c r="B10" s="148" t="s">
        <v>510</v>
      </c>
    </row>
    <row r="12" spans="2:2" x14ac:dyDescent="0.3">
      <c r="B12" s="148" t="s">
        <v>511</v>
      </c>
    </row>
    <row r="14" spans="2:2" x14ac:dyDescent="0.3">
      <c r="B14" s="148" t="s">
        <v>512</v>
      </c>
    </row>
    <row r="16" spans="2:2" x14ac:dyDescent="0.3">
      <c r="B16" s="149" t="s">
        <v>513</v>
      </c>
    </row>
    <row r="18" spans="2:2" x14ac:dyDescent="0.3">
      <c r="B18" s="147" t="s">
        <v>514</v>
      </c>
    </row>
    <row r="20" spans="2:2" x14ac:dyDescent="0.3">
      <c r="B20" s="150" t="s">
        <v>515</v>
      </c>
    </row>
    <row r="22" spans="2:2" x14ac:dyDescent="0.3">
      <c r="B22" s="150" t="s">
        <v>516</v>
      </c>
    </row>
    <row r="24" spans="2:2" x14ac:dyDescent="0.3">
      <c r="B24" s="149" t="s">
        <v>517</v>
      </c>
    </row>
    <row r="26" spans="2:2" x14ac:dyDescent="0.3">
      <c r="B26" s="151" t="s">
        <v>518</v>
      </c>
    </row>
    <row r="30" spans="2:2" x14ac:dyDescent="0.3">
      <c r="B30" s="144" t="s">
        <v>519</v>
      </c>
    </row>
    <row r="31" spans="2:2" x14ac:dyDescent="0.3">
      <c r="B31" s="144" t="s">
        <v>520</v>
      </c>
    </row>
  </sheetData>
  <hyperlinks>
    <hyperlink ref="B20" location="_ftn1" display="_ftn1" xr:uid="{59CA5184-8A76-494B-8C12-BD716D0F4AE9}"/>
    <hyperlink ref="B22" location="_ftn2" display="_ftn2" xr:uid="{D827AF88-E3BA-469C-B144-F44DFA008A23}"/>
    <hyperlink ref="B30" location="_ftnref1" display="_ftnref1" xr:uid="{4EF5312B-7235-4F41-9E5F-6FE52EC0E70E}"/>
    <hyperlink ref="B31" location="_ftnref2" display="_ftnref2" xr:uid="{9F17E445-74BF-4F3F-BAFC-EB47DF67249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3BFE-BB36-47DE-829F-BDBE8CCA8040}">
  <dimension ref="B2:M54"/>
  <sheetViews>
    <sheetView workbookViewId="0">
      <selection activeCell="L43" sqref="L43"/>
    </sheetView>
  </sheetViews>
  <sheetFormatPr defaultRowHeight="14.4" x14ac:dyDescent="0.3"/>
  <cols>
    <col min="2" max="2" width="13.21875" customWidth="1"/>
    <col min="3" max="3" width="12.21875" customWidth="1"/>
    <col min="4" max="4" width="10.21875" customWidth="1"/>
    <col min="5" max="5" width="13" customWidth="1"/>
    <col min="6" max="6" width="12.21875" customWidth="1"/>
    <col min="7" max="7" width="17.21875" bestFit="1" customWidth="1"/>
    <col min="11" max="11" width="10" customWidth="1"/>
    <col min="12" max="12" width="10.44140625" customWidth="1"/>
  </cols>
  <sheetData>
    <row r="2" spans="2:13" x14ac:dyDescent="0.3">
      <c r="B2" s="72" t="s">
        <v>247</v>
      </c>
      <c r="C2" s="67"/>
    </row>
    <row r="3" spans="2:13" s="12" customFormat="1" ht="57.6" x14ac:dyDescent="0.3">
      <c r="B3" s="73"/>
      <c r="C3" s="67">
        <v>2018</v>
      </c>
      <c r="D3" s="12" t="s">
        <v>299</v>
      </c>
      <c r="E3" s="12" t="s">
        <v>300</v>
      </c>
      <c r="F3" s="12" t="s">
        <v>301</v>
      </c>
      <c r="G3" s="12" t="s">
        <v>521</v>
      </c>
      <c r="K3" s="12" t="s">
        <v>244</v>
      </c>
      <c r="L3" s="12" t="s">
        <v>245</v>
      </c>
      <c r="M3" s="12" t="s">
        <v>246</v>
      </c>
    </row>
    <row r="4" spans="2:13" x14ac:dyDescent="0.3">
      <c r="B4" s="68" t="s">
        <v>248</v>
      </c>
      <c r="C4" s="69">
        <v>327167434</v>
      </c>
      <c r="D4">
        <f t="shared" ref="D4:D35" si="0">C4/$M$4</f>
        <v>118826921.00000001</v>
      </c>
      <c r="G4" s="35">
        <f>SUM(G5:G54)</f>
        <v>787742744857.75</v>
      </c>
      <c r="K4">
        <v>327167434</v>
      </c>
      <c r="L4">
        <v>118826921</v>
      </c>
      <c r="M4">
        <f>K4/L4</f>
        <v>2.7533107081012389</v>
      </c>
    </row>
    <row r="5" spans="2:13" x14ac:dyDescent="0.3">
      <c r="B5" s="70" t="s">
        <v>249</v>
      </c>
      <c r="C5" s="71">
        <v>4887871</v>
      </c>
      <c r="D5" s="64">
        <f t="shared" si="0"/>
        <v>1775270.3992390363</v>
      </c>
      <c r="E5">
        <f>K10</f>
        <v>0.57482185273159137</v>
      </c>
      <c r="F5" s="64">
        <f>D5-(D5*E5)</f>
        <v>754806.17924890155</v>
      </c>
      <c r="G5" s="74">
        <f>F5*'Cost Data'!$C$13</f>
        <v>7548061792.4890156</v>
      </c>
    </row>
    <row r="6" spans="2:13" x14ac:dyDescent="0.3">
      <c r="B6" s="70" t="s">
        <v>250</v>
      </c>
      <c r="C6" s="71">
        <v>737438</v>
      </c>
      <c r="D6" s="64">
        <f t="shared" si="0"/>
        <v>267836.82561876869</v>
      </c>
      <c r="E6">
        <f>K11</f>
        <v>0.282258064516129</v>
      </c>
      <c r="F6" s="64">
        <f t="shared" ref="F6:F54" si="1">D6-(D6*E6)</f>
        <v>192237.72161347111</v>
      </c>
      <c r="G6" s="74">
        <f>F6*'Cost Data'!$C$13</f>
        <v>1922377216.134711</v>
      </c>
    </row>
    <row r="7" spans="2:13" x14ac:dyDescent="0.3">
      <c r="B7" s="70" t="s">
        <v>251</v>
      </c>
      <c r="C7" s="71">
        <v>7171646</v>
      </c>
      <c r="D7" s="64">
        <f t="shared" si="0"/>
        <v>2604735.4477278632</v>
      </c>
      <c r="E7">
        <f>K11</f>
        <v>0.282258064516129</v>
      </c>
      <c r="F7" s="64">
        <f t="shared" si="1"/>
        <v>1869527.8616756438</v>
      </c>
      <c r="G7" s="74">
        <f>F7*'Cost Data'!$C$13</f>
        <v>18695278616.756439</v>
      </c>
      <c r="K7">
        <v>0.335387323943662</v>
      </c>
      <c r="L7" t="s">
        <v>325</v>
      </c>
    </row>
    <row r="8" spans="2:13" x14ac:dyDescent="0.3">
      <c r="B8" s="70" t="s">
        <v>252</v>
      </c>
      <c r="C8" s="71">
        <v>3013825</v>
      </c>
      <c r="D8" s="64">
        <f t="shared" si="0"/>
        <v>1094618.5590795232</v>
      </c>
      <c r="E8">
        <f>K10</f>
        <v>0.57482185273159137</v>
      </c>
      <c r="F8" s="64">
        <f t="shared" si="1"/>
        <v>465407.8909150468</v>
      </c>
      <c r="G8" s="74">
        <f>F8*'Cost Data'!$C$13</f>
        <v>4654078909.1504679</v>
      </c>
      <c r="K8">
        <v>0.11538461538461538</v>
      </c>
      <c r="L8" t="s">
        <v>326</v>
      </c>
    </row>
    <row r="9" spans="2:13" x14ac:dyDescent="0.3">
      <c r="B9" s="70" t="s">
        <v>253</v>
      </c>
      <c r="C9" s="71">
        <v>39557045</v>
      </c>
      <c r="D9" s="64">
        <f t="shared" si="0"/>
        <v>14367083.556392245</v>
      </c>
      <c r="E9">
        <f>K11</f>
        <v>0.282258064516129</v>
      </c>
      <c r="F9" s="64">
        <f t="shared" si="1"/>
        <v>10311858.359023467</v>
      </c>
      <c r="G9" s="74">
        <f>F9*'Cost Data'!$C$13</f>
        <v>103118583590.23466</v>
      </c>
      <c r="K9">
        <v>0.17760617760617761</v>
      </c>
      <c r="L9" t="s">
        <v>327</v>
      </c>
    </row>
    <row r="10" spans="2:13" x14ac:dyDescent="0.3">
      <c r="B10" s="70" t="s">
        <v>254</v>
      </c>
      <c r="C10" s="71">
        <v>5695564</v>
      </c>
      <c r="D10" s="64">
        <f t="shared" si="0"/>
        <v>2068623.7783631119</v>
      </c>
      <c r="E10">
        <f>K11</f>
        <v>0.282258064516129</v>
      </c>
      <c r="F10" s="64">
        <f t="shared" si="1"/>
        <v>1484738.0344702981</v>
      </c>
      <c r="G10" s="74">
        <f>F10*'Cost Data'!$C$13</f>
        <v>14847380344.70298</v>
      </c>
      <c r="K10">
        <v>0.57482185273159137</v>
      </c>
      <c r="L10" t="s">
        <v>328</v>
      </c>
    </row>
    <row r="11" spans="2:13" x14ac:dyDescent="0.3">
      <c r="B11" s="70" t="s">
        <v>255</v>
      </c>
      <c r="C11" s="71">
        <v>3572665</v>
      </c>
      <c r="D11" s="64">
        <f t="shared" si="0"/>
        <v>1297588.7499685101</v>
      </c>
      <c r="E11">
        <f>K8</f>
        <v>0.11538461538461538</v>
      </c>
      <c r="F11" s="64">
        <f t="shared" si="1"/>
        <v>1147866.9711259897</v>
      </c>
      <c r="G11" s="74">
        <f>F11*'Cost Data'!$C$13</f>
        <v>11478669711.259897</v>
      </c>
      <c r="K11">
        <v>0.282258064516129</v>
      </c>
      <c r="L11" t="s">
        <v>329</v>
      </c>
    </row>
    <row r="12" spans="2:13" x14ac:dyDescent="0.3">
      <c r="B12" s="70" t="s">
        <v>256</v>
      </c>
      <c r="C12" s="71">
        <v>967171</v>
      </c>
      <c r="D12" s="64">
        <f t="shared" si="0"/>
        <v>351275.64686187869</v>
      </c>
      <c r="E12">
        <f>K8</f>
        <v>0.11538461538461538</v>
      </c>
      <c r="F12" s="64">
        <f t="shared" si="1"/>
        <v>310743.84145473887</v>
      </c>
      <c r="G12" s="74">
        <f>F12*'Cost Data'!$C$13</f>
        <v>3107438414.5473886</v>
      </c>
    </row>
    <row r="13" spans="2:13" hidden="1" x14ac:dyDescent="0.3">
      <c r="B13" s="70" t="s">
        <v>257</v>
      </c>
      <c r="C13" s="71">
        <v>21299325</v>
      </c>
      <c r="D13" s="64">
        <f t="shared" si="0"/>
        <v>7735895.8933801623</v>
      </c>
      <c r="E13">
        <f>K10</f>
        <v>0.57482185273159137</v>
      </c>
      <c r="F13" s="64">
        <f t="shared" si="1"/>
        <v>3289133.8834086685</v>
      </c>
      <c r="G13" s="74">
        <f>F13*'Cost Data'!$C$13</f>
        <v>32891338834.086685</v>
      </c>
    </row>
    <row r="14" spans="2:13" hidden="1" x14ac:dyDescent="0.3">
      <c r="B14" s="70" t="s">
        <v>258</v>
      </c>
      <c r="C14" s="71">
        <v>10519475</v>
      </c>
      <c r="D14" s="64">
        <f t="shared" si="0"/>
        <v>3820663.9624971813</v>
      </c>
      <c r="E14">
        <f>K10</f>
        <v>0.57482185273159137</v>
      </c>
      <c r="F14" s="64">
        <f t="shared" si="1"/>
        <v>1624462.824909728</v>
      </c>
      <c r="G14" s="74">
        <f>F14*'Cost Data'!$C$13</f>
        <v>16244628249.097281</v>
      </c>
    </row>
    <row r="15" spans="2:13" hidden="1" x14ac:dyDescent="0.3">
      <c r="B15" s="70" t="s">
        <v>259</v>
      </c>
      <c r="C15" s="71">
        <v>1420491</v>
      </c>
      <c r="D15" s="64">
        <f t="shared" si="0"/>
        <v>515921.06761521689</v>
      </c>
      <c r="E15">
        <f>K11</f>
        <v>0.282258064516129</v>
      </c>
      <c r="F15" s="64">
        <f t="shared" si="1"/>
        <v>370298.18562705081</v>
      </c>
      <c r="G15" s="74">
        <f>F15*'Cost Data'!$C$13</f>
        <v>3702981856.2705083</v>
      </c>
    </row>
    <row r="16" spans="2:13" hidden="1" x14ac:dyDescent="0.3">
      <c r="B16" s="70" t="s">
        <v>260</v>
      </c>
      <c r="C16" s="71">
        <v>1754208</v>
      </c>
      <c r="D16" s="64">
        <f t="shared" si="0"/>
        <v>637126.78516031033</v>
      </c>
      <c r="E16">
        <f>K11</f>
        <v>0.282258064516129</v>
      </c>
      <c r="F16" s="64">
        <f t="shared" si="1"/>
        <v>457292.6119295776</v>
      </c>
      <c r="G16" s="74">
        <f>F16*'Cost Data'!$C$13</f>
        <v>4572926119.2957764</v>
      </c>
    </row>
    <row r="17" spans="2:7" hidden="1" x14ac:dyDescent="0.3">
      <c r="B17" s="70" t="s">
        <v>261</v>
      </c>
      <c r="C17" s="71">
        <v>12741080</v>
      </c>
      <c r="D17" s="64">
        <f t="shared" si="0"/>
        <v>4627548.9222887633</v>
      </c>
      <c r="E17">
        <f>K9</f>
        <v>0.17760617760617761</v>
      </c>
      <c r="F17" s="64">
        <f t="shared" si="1"/>
        <v>3805667.6465154695</v>
      </c>
      <c r="G17" s="74">
        <f>F17*'Cost Data'!$C$13</f>
        <v>38056676465.154694</v>
      </c>
    </row>
    <row r="18" spans="2:7" hidden="1" x14ac:dyDescent="0.3">
      <c r="B18" s="70" t="s">
        <v>262</v>
      </c>
      <c r="C18" s="71">
        <v>6691878</v>
      </c>
      <c r="D18" s="64">
        <f t="shared" si="0"/>
        <v>2430484.1369011016</v>
      </c>
      <c r="E18">
        <f>K9</f>
        <v>0.17760617760617761</v>
      </c>
      <c r="F18" s="64">
        <f t="shared" si="1"/>
        <v>1998815.1396136472</v>
      </c>
      <c r="G18" s="74">
        <f>F18*'Cost Data'!$C$13</f>
        <v>19988151396.136471</v>
      </c>
    </row>
    <row r="19" spans="2:7" hidden="1" x14ac:dyDescent="0.3">
      <c r="B19" s="70" t="s">
        <v>263</v>
      </c>
      <c r="C19" s="71">
        <v>3156145</v>
      </c>
      <c r="D19" s="64">
        <f t="shared" si="0"/>
        <v>1146309.0564800682</v>
      </c>
      <c r="E19">
        <f>K9</f>
        <v>0.17760617760617761</v>
      </c>
      <c r="F19" s="64">
        <f t="shared" si="1"/>
        <v>942717.48660329939</v>
      </c>
      <c r="G19" s="74">
        <f>F19*'Cost Data'!$C$13</f>
        <v>9427174866.0329933</v>
      </c>
    </row>
    <row r="20" spans="2:7" hidden="1" x14ac:dyDescent="0.3">
      <c r="B20" s="70" t="s">
        <v>264</v>
      </c>
      <c r="C20" s="71">
        <v>2911505</v>
      </c>
      <c r="D20" s="64">
        <f t="shared" si="0"/>
        <v>1057456.0260973438</v>
      </c>
      <c r="E20">
        <f>K9</f>
        <v>0.17760617760617761</v>
      </c>
      <c r="F20" s="64">
        <f t="shared" si="1"/>
        <v>869645.30331557617</v>
      </c>
      <c r="G20" s="74">
        <f>F20*'Cost Data'!$C$13</f>
        <v>8696453033.1557617</v>
      </c>
    </row>
    <row r="21" spans="2:7" hidden="1" x14ac:dyDescent="0.3">
      <c r="B21" s="70" t="s">
        <v>265</v>
      </c>
      <c r="C21" s="71">
        <v>4468402</v>
      </c>
      <c r="D21" s="64">
        <f t="shared" si="0"/>
        <v>1622919.6315738505</v>
      </c>
      <c r="E21">
        <f>K10</f>
        <v>0.57482185273159137</v>
      </c>
      <c r="F21" s="64">
        <f t="shared" si="1"/>
        <v>690029.96211809805</v>
      </c>
      <c r="G21" s="74">
        <f>F21*'Cost Data'!$C$13</f>
        <v>6900299621.1809807</v>
      </c>
    </row>
    <row r="22" spans="2:7" hidden="1" x14ac:dyDescent="0.3">
      <c r="B22" s="70" t="s">
        <v>266</v>
      </c>
      <c r="C22" s="71">
        <v>4659978</v>
      </c>
      <c r="D22" s="64">
        <f t="shared" si="0"/>
        <v>1692499.8643591711</v>
      </c>
      <c r="E22">
        <f>K10</f>
        <v>0.57482185273159137</v>
      </c>
      <c r="F22" s="64">
        <f t="shared" si="1"/>
        <v>719613.95658026531</v>
      </c>
      <c r="G22" s="74">
        <f>F22*'Cost Data'!$C$13</f>
        <v>7196139565.8026533</v>
      </c>
    </row>
    <row r="23" spans="2:7" hidden="1" x14ac:dyDescent="0.3">
      <c r="B23" s="70" t="s">
        <v>267</v>
      </c>
      <c r="C23" s="71">
        <v>1338404</v>
      </c>
      <c r="D23" s="64">
        <f t="shared" si="0"/>
        <v>486107.14223495731</v>
      </c>
      <c r="E23">
        <f>K8</f>
        <v>0.11538461538461538</v>
      </c>
      <c r="F23" s="64">
        <f t="shared" si="1"/>
        <v>430017.85659246222</v>
      </c>
      <c r="G23" s="74">
        <f>F23*'Cost Data'!$C$13</f>
        <v>4300178565.9246225</v>
      </c>
    </row>
    <row r="24" spans="2:7" hidden="1" x14ac:dyDescent="0.3">
      <c r="B24" s="70" t="s">
        <v>268</v>
      </c>
      <c r="C24" s="71">
        <v>6042718</v>
      </c>
      <c r="D24" s="64">
        <f t="shared" si="0"/>
        <v>2194709.802355445</v>
      </c>
      <c r="E24">
        <f>K8</f>
        <v>0.11538461538461538</v>
      </c>
      <c r="F24" s="64">
        <f t="shared" si="1"/>
        <v>1941474.0559298168</v>
      </c>
      <c r="G24" s="74">
        <f>F24*'Cost Data'!$C$13</f>
        <v>19414740559.298168</v>
      </c>
    </row>
    <row r="25" spans="2:7" hidden="1" x14ac:dyDescent="0.3">
      <c r="B25" s="70" t="s">
        <v>269</v>
      </c>
      <c r="C25" s="71">
        <v>6902149</v>
      </c>
      <c r="D25" s="64">
        <f t="shared" si="0"/>
        <v>2506854.3770564557</v>
      </c>
      <c r="E25">
        <f>K8</f>
        <v>0.11538461538461538</v>
      </c>
      <c r="F25" s="64">
        <f t="shared" si="1"/>
        <v>2217601.9489345569</v>
      </c>
      <c r="G25" s="74">
        <f>F25*'Cost Data'!$C$13</f>
        <v>22176019489.34557</v>
      </c>
    </row>
    <row r="26" spans="2:7" hidden="1" x14ac:dyDescent="0.3">
      <c r="B26" s="70" t="s">
        <v>270</v>
      </c>
      <c r="C26" s="71">
        <v>9995915</v>
      </c>
      <c r="D26" s="64">
        <f t="shared" si="0"/>
        <v>3630507.4362251931</v>
      </c>
      <c r="E26">
        <f>K9</f>
        <v>0.17760617760617761</v>
      </c>
      <c r="F26" s="64">
        <f t="shared" si="1"/>
        <v>2985706.887706433</v>
      </c>
      <c r="G26" s="74">
        <f>F26*'Cost Data'!$C$13</f>
        <v>29857068877.064331</v>
      </c>
    </row>
    <row r="27" spans="2:7" hidden="1" x14ac:dyDescent="0.3">
      <c r="B27" s="70" t="s">
        <v>271</v>
      </c>
      <c r="C27" s="71">
        <v>5611179</v>
      </c>
      <c r="D27" s="64">
        <f t="shared" si="0"/>
        <v>2037975.2214270174</v>
      </c>
      <c r="E27">
        <f>K9</f>
        <v>0.17760617760617761</v>
      </c>
      <c r="F27" s="64">
        <f t="shared" si="1"/>
        <v>1676018.2322932614</v>
      </c>
      <c r="G27" s="74">
        <f>F27*'Cost Data'!$C$13</f>
        <v>16760182322.932615</v>
      </c>
    </row>
    <row r="28" spans="2:7" hidden="1" x14ac:dyDescent="0.3">
      <c r="B28" s="70" t="s">
        <v>272</v>
      </c>
      <c r="C28" s="71">
        <v>2986530</v>
      </c>
      <c r="D28" s="64">
        <f t="shared" si="0"/>
        <v>1084705.0393595409</v>
      </c>
      <c r="E28">
        <f>K10</f>
        <v>0.57482185273159137</v>
      </c>
      <c r="F28" s="64">
        <f t="shared" si="1"/>
        <v>461192.87896759587</v>
      </c>
      <c r="G28" s="74">
        <f>F28*'Cost Data'!$C$13</f>
        <v>4611928789.6759586</v>
      </c>
    </row>
    <row r="29" spans="2:7" hidden="1" x14ac:dyDescent="0.3">
      <c r="B29" s="70" t="s">
        <v>273</v>
      </c>
      <c r="C29" s="71">
        <v>6126452</v>
      </c>
      <c r="D29" s="64">
        <f t="shared" si="0"/>
        <v>2225121.9166706307</v>
      </c>
      <c r="E29">
        <f>K10</f>
        <v>0.57482185273159137</v>
      </c>
      <c r="F29" s="64">
        <f t="shared" si="1"/>
        <v>946073.21397634922</v>
      </c>
      <c r="G29" s="74">
        <f>F29*'Cost Data'!$C$13</f>
        <v>9460732139.7634926</v>
      </c>
    </row>
    <row r="30" spans="2:7" hidden="1" x14ac:dyDescent="0.3">
      <c r="B30" s="70" t="s">
        <v>274</v>
      </c>
      <c r="C30" s="71">
        <v>1062305</v>
      </c>
      <c r="D30" s="64">
        <f t="shared" si="0"/>
        <v>385828.23103629873</v>
      </c>
      <c r="E30">
        <f>K11</f>
        <v>0.282258064516129</v>
      </c>
      <c r="F30" s="64">
        <f t="shared" si="1"/>
        <v>276925.10130831122</v>
      </c>
      <c r="G30" s="74">
        <f>F30*'Cost Data'!$C$13</f>
        <v>2769251013.0831122</v>
      </c>
    </row>
    <row r="31" spans="2:7" hidden="1" x14ac:dyDescent="0.3">
      <c r="B31" s="70" t="s">
        <v>275</v>
      </c>
      <c r="C31" s="71">
        <v>1929268</v>
      </c>
      <c r="D31" s="64">
        <f t="shared" si="0"/>
        <v>700708.4214372877</v>
      </c>
      <c r="E31">
        <f>K9</f>
        <v>0.17760617760617761</v>
      </c>
      <c r="F31" s="64">
        <f t="shared" si="1"/>
        <v>576258.27708935249</v>
      </c>
      <c r="G31" s="74">
        <f>F31*'Cost Data'!$C$13</f>
        <v>5762582770.8935251</v>
      </c>
    </row>
    <row r="32" spans="2:7" hidden="1" x14ac:dyDescent="0.3">
      <c r="B32" s="70" t="s">
        <v>276</v>
      </c>
      <c r="C32" s="71">
        <v>3034392</v>
      </c>
      <c r="D32" s="64">
        <f t="shared" si="0"/>
        <v>1102088.4751843365</v>
      </c>
      <c r="E32">
        <f>K11</f>
        <v>0.282258064516129</v>
      </c>
      <c r="F32" s="64">
        <f t="shared" si="1"/>
        <v>791015.11525327386</v>
      </c>
      <c r="G32" s="74">
        <f>F32*'Cost Data'!$C$13</f>
        <v>7910151152.5327387</v>
      </c>
    </row>
    <row r="33" spans="2:10" x14ac:dyDescent="0.3">
      <c r="B33" s="70" t="s">
        <v>277</v>
      </c>
      <c r="C33" s="71">
        <v>1356458</v>
      </c>
      <c r="D33" s="64">
        <f t="shared" si="0"/>
        <v>492664.33897518669</v>
      </c>
      <c r="E33">
        <f>K8</f>
        <v>0.11538461538461538</v>
      </c>
      <c r="F33" s="64">
        <f t="shared" si="1"/>
        <v>435818.453708819</v>
      </c>
      <c r="G33" s="74">
        <f>F33*'Cost Data'!$C$13</f>
        <v>4358184537.0881901</v>
      </c>
    </row>
    <row r="34" spans="2:10" ht="15.6" x14ac:dyDescent="0.3">
      <c r="B34" s="70" t="s">
        <v>278</v>
      </c>
      <c r="C34" s="71">
        <v>8908520</v>
      </c>
      <c r="D34" s="64">
        <f t="shared" si="0"/>
        <v>3235566.5395074748</v>
      </c>
      <c r="E34">
        <f>K8</f>
        <v>0.11538461538461538</v>
      </c>
      <c r="F34" s="64">
        <f t="shared" si="1"/>
        <v>2862231.9387950739</v>
      </c>
      <c r="G34" s="74">
        <f>F34*'Cost Data'!$C$13</f>
        <v>28622319387.950737</v>
      </c>
      <c r="J34" s="152" t="s">
        <v>522</v>
      </c>
    </row>
    <row r="35" spans="2:10" ht="15.6" x14ac:dyDescent="0.3">
      <c r="B35" s="70" t="s">
        <v>279</v>
      </c>
      <c r="C35" s="71">
        <v>2095428</v>
      </c>
      <c r="D35" s="64">
        <f t="shared" si="0"/>
        <v>761057.58563117869</v>
      </c>
      <c r="E35">
        <f>K11</f>
        <v>0.282258064516129</v>
      </c>
      <c r="F35" s="64">
        <f t="shared" si="1"/>
        <v>546242.94452560414</v>
      </c>
      <c r="G35" s="74">
        <f>F35*'Cost Data'!$C$13</f>
        <v>5462429445.2560415</v>
      </c>
      <c r="J35" s="152" t="s">
        <v>523</v>
      </c>
    </row>
    <row r="36" spans="2:10" ht="15.6" x14ac:dyDescent="0.3">
      <c r="B36" s="70" t="s">
        <v>280</v>
      </c>
      <c r="C36" s="71">
        <v>19542209</v>
      </c>
      <c r="D36" s="64">
        <f t="shared" ref="D36:D54" si="2">C36/$M$4</f>
        <v>7097712.9252066361</v>
      </c>
      <c r="E36">
        <f>K8</f>
        <v>0.11538461538461538</v>
      </c>
      <c r="F36" s="64">
        <f t="shared" si="1"/>
        <v>6278746.0492212549</v>
      </c>
      <c r="G36" s="74">
        <f>F36*'Cost Data'!$C$13</f>
        <v>62787460492.212547</v>
      </c>
      <c r="J36" s="152" t="s">
        <v>524</v>
      </c>
    </row>
    <row r="37" spans="2:10" ht="15.6" x14ac:dyDescent="0.3">
      <c r="B37" s="70" t="s">
        <v>281</v>
      </c>
      <c r="C37" s="71">
        <v>10383620</v>
      </c>
      <c r="D37" s="64">
        <f t="shared" si="2"/>
        <v>3771321.5473457547</v>
      </c>
      <c r="E37">
        <f>K10</f>
        <v>0.57482185273159137</v>
      </c>
      <c r="F37" s="64">
        <f t="shared" si="1"/>
        <v>1603483.5082538961</v>
      </c>
      <c r="G37" s="74">
        <f>F37*'Cost Data'!$C$13</f>
        <v>16034835082.538961</v>
      </c>
      <c r="J37" s="152" t="s">
        <v>525</v>
      </c>
    </row>
    <row r="38" spans="2:10" x14ac:dyDescent="0.3">
      <c r="B38" s="70" t="s">
        <v>282</v>
      </c>
      <c r="C38" s="71">
        <v>760077</v>
      </c>
      <c r="D38" s="64">
        <f t="shared" si="2"/>
        <v>276059.29028045316</v>
      </c>
      <c r="E38">
        <f>K9</f>
        <v>0.17760617760617761</v>
      </c>
      <c r="F38" s="64">
        <f t="shared" si="1"/>
        <v>227029.45494106767</v>
      </c>
      <c r="G38" s="74">
        <f>F38*'Cost Data'!$C$13</f>
        <v>2270294549.4106765</v>
      </c>
    </row>
    <row r="39" spans="2:10" x14ac:dyDescent="0.3">
      <c r="B39" s="70" t="s">
        <v>283</v>
      </c>
      <c r="C39" s="71">
        <v>11689442</v>
      </c>
      <c r="D39" s="64">
        <f t="shared" si="2"/>
        <v>4245594.9361637328</v>
      </c>
      <c r="E39">
        <f>K9</f>
        <v>0.17760617760617761</v>
      </c>
      <c r="F39" s="64">
        <f t="shared" si="1"/>
        <v>3491551.0478875488</v>
      </c>
      <c r="G39" s="74">
        <f>F39*'Cost Data'!$C$13</f>
        <v>34915510478.875488</v>
      </c>
    </row>
    <row r="40" spans="2:10" x14ac:dyDescent="0.3">
      <c r="B40" s="70" t="s">
        <v>284</v>
      </c>
      <c r="C40" s="71">
        <v>3943079</v>
      </c>
      <c r="D40" s="64">
        <f t="shared" si="2"/>
        <v>1432122.7852701226</v>
      </c>
      <c r="E40">
        <f>K9</f>
        <v>0.17760617760617761</v>
      </c>
      <c r="F40" s="64">
        <f t="shared" si="1"/>
        <v>1177768.9315155833</v>
      </c>
      <c r="G40" s="74">
        <f>F40*'Cost Data'!$C$13</f>
        <v>11777689315.155832</v>
      </c>
    </row>
    <row r="41" spans="2:10" x14ac:dyDescent="0.3">
      <c r="B41" s="70" t="s">
        <v>285</v>
      </c>
      <c r="C41" s="71">
        <v>4190713</v>
      </c>
      <c r="D41" s="64">
        <f t="shared" si="2"/>
        <v>1522063.2337895618</v>
      </c>
      <c r="E41">
        <f>K11</f>
        <v>0.282258064516129</v>
      </c>
      <c r="F41" s="64">
        <f t="shared" si="1"/>
        <v>1092448.6113489596</v>
      </c>
      <c r="G41" s="74">
        <f>F41*'Cost Data'!$C$13</f>
        <v>10924486113.489595</v>
      </c>
    </row>
    <row r="42" spans="2:10" x14ac:dyDescent="0.3">
      <c r="B42" s="70" t="s">
        <v>286</v>
      </c>
      <c r="C42" s="71">
        <v>12807060</v>
      </c>
      <c r="D42" s="64">
        <f t="shared" si="2"/>
        <v>4651512.7995968573</v>
      </c>
      <c r="E42">
        <f>K8</f>
        <v>0.11538461538461538</v>
      </c>
      <c r="F42" s="64">
        <f t="shared" si="1"/>
        <v>4114799.7842587586</v>
      </c>
      <c r="G42" s="74">
        <f>F42*'Cost Data'!$C$13</f>
        <v>41147997842.587585</v>
      </c>
    </row>
    <row r="43" spans="2:10" x14ac:dyDescent="0.3">
      <c r="B43" s="70" t="s">
        <v>287</v>
      </c>
      <c r="C43" s="71">
        <v>1057315</v>
      </c>
      <c r="D43" s="64">
        <f t="shared" si="2"/>
        <v>384015.8674751076</v>
      </c>
      <c r="E43">
        <f>K8</f>
        <v>0.11538461538461538</v>
      </c>
      <c r="F43" s="64">
        <f t="shared" si="1"/>
        <v>339706.34430490289</v>
      </c>
      <c r="G43" s="74">
        <f>F43*'Cost Data'!$C$13</f>
        <v>3397063443.0490289</v>
      </c>
    </row>
    <row r="44" spans="2:10" x14ac:dyDescent="0.3">
      <c r="B44" s="70" t="s">
        <v>288</v>
      </c>
      <c r="C44" s="71">
        <v>5084127</v>
      </c>
      <c r="D44" s="64">
        <f t="shared" si="2"/>
        <v>1846550.4038613057</v>
      </c>
      <c r="E44">
        <f>K10</f>
        <v>0.57482185273159137</v>
      </c>
      <c r="F44" s="64">
        <f t="shared" si="1"/>
        <v>785112.87955148169</v>
      </c>
      <c r="G44" s="74">
        <f>F44*'Cost Data'!$C$13</f>
        <v>7851128795.5148172</v>
      </c>
    </row>
    <row r="45" spans="2:10" x14ac:dyDescent="0.3">
      <c r="B45" s="70" t="s">
        <v>289</v>
      </c>
      <c r="C45" s="71">
        <v>882235</v>
      </c>
      <c r="D45" s="64">
        <f t="shared" si="2"/>
        <v>320426.96721592103</v>
      </c>
      <c r="E45">
        <f>K9</f>
        <v>0.17760617760617761</v>
      </c>
      <c r="F45" s="64">
        <f t="shared" si="1"/>
        <v>263517.15836676129</v>
      </c>
      <c r="G45" s="74">
        <f>F45*'Cost Data'!$C$13</f>
        <v>2635171583.667613</v>
      </c>
    </row>
    <row r="46" spans="2:10" x14ac:dyDescent="0.3">
      <c r="B46" s="70" t="s">
        <v>290</v>
      </c>
      <c r="C46" s="71">
        <v>6770010</v>
      </c>
      <c r="D46" s="64">
        <f t="shared" si="2"/>
        <v>2458861.609799495</v>
      </c>
      <c r="E46">
        <f>K10</f>
        <v>0.57482185273159137</v>
      </c>
      <c r="F46" s="64">
        <f t="shared" si="1"/>
        <v>1045454.223643966</v>
      </c>
      <c r="G46" s="74">
        <f>F46*'Cost Data'!$C$13</f>
        <v>10454542236.439661</v>
      </c>
    </row>
    <row r="47" spans="2:10" x14ac:dyDescent="0.3">
      <c r="B47" s="70" t="s">
        <v>291</v>
      </c>
      <c r="C47" s="71">
        <v>28701845</v>
      </c>
      <c r="D47" s="64">
        <f t="shared" si="2"/>
        <v>10424484.572536169</v>
      </c>
      <c r="E47">
        <f>K10</f>
        <v>0.57482185273159137</v>
      </c>
      <c r="F47" s="64">
        <f t="shared" si="1"/>
        <v>4432263.0367790367</v>
      </c>
      <c r="G47" s="74">
        <f>F47*'Cost Data'!$C$13</f>
        <v>44322630367.790367</v>
      </c>
    </row>
    <row r="48" spans="2:10" x14ac:dyDescent="0.3">
      <c r="B48" s="70" t="s">
        <v>292</v>
      </c>
      <c r="C48" s="71">
        <v>3161105</v>
      </c>
      <c r="D48" s="64">
        <f t="shared" si="2"/>
        <v>1148110.5240679458</v>
      </c>
      <c r="E48">
        <f>K11</f>
        <v>0.282258064516129</v>
      </c>
      <c r="F48" s="64">
        <f t="shared" si="1"/>
        <v>824047.06969392882</v>
      </c>
      <c r="G48" s="74">
        <f>F48*'Cost Data'!$C$13</f>
        <v>8240470696.9392881</v>
      </c>
    </row>
    <row r="49" spans="2:7" x14ac:dyDescent="0.3">
      <c r="B49" s="70" t="s">
        <v>293</v>
      </c>
      <c r="C49" s="71">
        <v>626299</v>
      </c>
      <c r="D49" s="64">
        <f t="shared" si="2"/>
        <v>227471.2396814501</v>
      </c>
      <c r="E49">
        <f>K8</f>
        <v>0.11538461538461538</v>
      </c>
      <c r="F49" s="64">
        <f t="shared" si="1"/>
        <v>201224.55817974432</v>
      </c>
      <c r="G49" s="74">
        <f>F49*'Cost Data'!$C$13</f>
        <v>2012245581.7974432</v>
      </c>
    </row>
    <row r="50" spans="2:7" x14ac:dyDescent="0.3">
      <c r="B50" s="70" t="s">
        <v>294</v>
      </c>
      <c r="C50" s="71">
        <v>8517685</v>
      </c>
      <c r="D50" s="64">
        <f t="shared" si="2"/>
        <v>3093615.6151711759</v>
      </c>
      <c r="E50">
        <f>K10</f>
        <v>0.57482185273159137</v>
      </c>
      <c r="F50" s="64">
        <f t="shared" si="1"/>
        <v>1315337.7556190989</v>
      </c>
      <c r="G50" s="74">
        <f>F50*'Cost Data'!$C$13</f>
        <v>13153377556.190989</v>
      </c>
    </row>
    <row r="51" spans="2:7" x14ac:dyDescent="0.3">
      <c r="B51" s="70" t="s">
        <v>295</v>
      </c>
      <c r="C51" s="71">
        <v>7535591</v>
      </c>
      <c r="D51" s="64">
        <f t="shared" si="2"/>
        <v>2736919.9479839155</v>
      </c>
      <c r="E51">
        <f>K11</f>
        <v>0.282258064516129</v>
      </c>
      <c r="F51" s="64">
        <f t="shared" si="1"/>
        <v>1964402.2207303909</v>
      </c>
      <c r="G51" s="74">
        <f>F51*'Cost Data'!$C$13</f>
        <v>19644022207.303909</v>
      </c>
    </row>
    <row r="52" spans="2:7" x14ac:dyDescent="0.3">
      <c r="B52" s="70" t="s">
        <v>296</v>
      </c>
      <c r="C52" s="71">
        <v>1805832</v>
      </c>
      <c r="D52" s="64">
        <f t="shared" si="2"/>
        <v>655876.57603865315</v>
      </c>
      <c r="E52">
        <f>K10</f>
        <v>0.57482185273159137</v>
      </c>
      <c r="F52" s="64">
        <f t="shared" si="1"/>
        <v>278864.3874368621</v>
      </c>
      <c r="G52" s="74">
        <f>F52*'Cost Data'!$C$13</f>
        <v>2788643874.3686209</v>
      </c>
    </row>
    <row r="53" spans="2:7" x14ac:dyDescent="0.3">
      <c r="B53" s="70" t="s">
        <v>297</v>
      </c>
      <c r="C53" s="71">
        <v>5813568</v>
      </c>
      <c r="D53" s="64">
        <f t="shared" si="2"/>
        <v>2111482.7261937326</v>
      </c>
      <c r="E53">
        <f>K9</f>
        <v>0.17760617760617761</v>
      </c>
      <c r="F53" s="64">
        <f t="shared" si="1"/>
        <v>1736470.3501129923</v>
      </c>
      <c r="G53" s="74">
        <f>F53*'Cost Data'!$C$13</f>
        <v>17364703501.129925</v>
      </c>
    </row>
    <row r="54" spans="2:7" x14ac:dyDescent="0.3">
      <c r="B54" s="70" t="s">
        <v>298</v>
      </c>
      <c r="C54" s="71">
        <v>577737</v>
      </c>
      <c r="D54" s="64">
        <f t="shared" si="2"/>
        <v>209833.56447933326</v>
      </c>
      <c r="E54">
        <f>K11</f>
        <v>0.282258064516129</v>
      </c>
      <c r="F54" s="64">
        <f t="shared" si="1"/>
        <v>150606.3486988763</v>
      </c>
      <c r="G54" s="74">
        <f>F54*'Cost Data'!$C$13</f>
        <v>1506063486.9887631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81C0A-BC0D-48A9-BAC2-009639A21064}">
  <dimension ref="A1:K54"/>
  <sheetViews>
    <sheetView workbookViewId="0">
      <selection activeCell="A48" sqref="A48:XFD48"/>
    </sheetView>
  </sheetViews>
  <sheetFormatPr defaultRowHeight="14.4" x14ac:dyDescent="0.3"/>
  <cols>
    <col min="1" max="1" width="14" bestFit="1" customWidth="1"/>
    <col min="2" max="2" width="28.5546875" bestFit="1" customWidth="1"/>
    <col min="3" max="3" width="20.21875" bestFit="1" customWidth="1"/>
    <col min="4" max="4" width="17.44140625" bestFit="1" customWidth="1"/>
    <col min="5" max="5" width="20.88671875" bestFit="1" customWidth="1"/>
    <col min="6" max="6" width="26.21875" bestFit="1" customWidth="1"/>
    <col min="7" max="7" width="18" bestFit="1" customWidth="1"/>
    <col min="8" max="8" width="15.77734375" bestFit="1" customWidth="1"/>
    <col min="9" max="9" width="18.44140625" bestFit="1" customWidth="1"/>
    <col min="11" max="11" width="11.21875" customWidth="1"/>
  </cols>
  <sheetData>
    <row r="1" spans="1:11" ht="18" x14ac:dyDescent="0.35">
      <c r="A1" s="138" t="s">
        <v>461</v>
      </c>
    </row>
    <row r="2" spans="1:11" ht="16.2" customHeight="1" x14ac:dyDescent="0.3">
      <c r="A2" s="137" t="s">
        <v>460</v>
      </c>
      <c r="D2" t="s">
        <v>558</v>
      </c>
    </row>
    <row r="3" spans="1:11" x14ac:dyDescent="0.3">
      <c r="A3" s="132" t="s">
        <v>377</v>
      </c>
      <c r="B3" t="s">
        <v>453</v>
      </c>
      <c r="C3" t="s">
        <v>383</v>
      </c>
      <c r="D3" t="s">
        <v>454</v>
      </c>
      <c r="E3" t="s">
        <v>455</v>
      </c>
      <c r="F3" t="s">
        <v>456</v>
      </c>
      <c r="G3" t="s">
        <v>457</v>
      </c>
      <c r="H3" t="s">
        <v>458</v>
      </c>
      <c r="I3" t="s">
        <v>459</v>
      </c>
      <c r="K3" t="s">
        <v>244</v>
      </c>
    </row>
    <row r="4" spans="1:11" x14ac:dyDescent="0.3">
      <c r="A4" s="136" t="s">
        <v>9</v>
      </c>
      <c r="B4" s="35">
        <v>73000000000</v>
      </c>
      <c r="C4" s="35">
        <v>94000000000</v>
      </c>
      <c r="D4" s="35">
        <v>171000000000</v>
      </c>
      <c r="E4" s="35">
        <v>8000000000</v>
      </c>
      <c r="F4" s="35">
        <v>134000000000</v>
      </c>
      <c r="G4" s="35">
        <v>92000000000</v>
      </c>
      <c r="H4" s="35">
        <v>5000000000</v>
      </c>
      <c r="I4" s="35">
        <v>576000000000</v>
      </c>
      <c r="K4" s="131">
        <v>3017804</v>
      </c>
    </row>
    <row r="5" spans="1:11" x14ac:dyDescent="0.3">
      <c r="A5" s="136" t="s">
        <v>10</v>
      </c>
      <c r="B5" s="35">
        <v>5000000000</v>
      </c>
      <c r="C5" s="35">
        <v>9000000000</v>
      </c>
      <c r="D5" s="35">
        <v>88000000000</v>
      </c>
      <c r="E5" s="35">
        <v>2000000000</v>
      </c>
      <c r="F5" s="35">
        <v>17000000000</v>
      </c>
      <c r="G5" s="35">
        <v>16000000000</v>
      </c>
      <c r="H5" s="35">
        <v>1000000000</v>
      </c>
      <c r="I5" s="35">
        <v>139000000000</v>
      </c>
      <c r="K5" s="131">
        <v>39512223</v>
      </c>
    </row>
    <row r="6" spans="1:11" x14ac:dyDescent="0.3">
      <c r="A6" s="136" t="s">
        <v>11</v>
      </c>
      <c r="B6" s="35">
        <v>64000000000</v>
      </c>
      <c r="C6" s="35">
        <v>112000000000</v>
      </c>
      <c r="D6" s="35">
        <v>82000000000</v>
      </c>
      <c r="E6" s="35">
        <v>19000000000</v>
      </c>
      <c r="F6" s="35">
        <v>169000000000</v>
      </c>
      <c r="G6" s="35">
        <v>97000000000</v>
      </c>
      <c r="H6" s="35">
        <v>7000000000</v>
      </c>
      <c r="I6" s="35">
        <v>550000000000</v>
      </c>
      <c r="K6" s="131">
        <v>5758736</v>
      </c>
    </row>
    <row r="7" spans="1:11" x14ac:dyDescent="0.3">
      <c r="A7" s="136" t="s">
        <v>12</v>
      </c>
      <c r="B7" s="35">
        <v>39000000000</v>
      </c>
      <c r="C7" s="35">
        <v>53000000000</v>
      </c>
      <c r="D7" s="35">
        <v>81000000000</v>
      </c>
      <c r="E7" s="35">
        <v>5000000000</v>
      </c>
      <c r="F7" s="35">
        <v>83000000000</v>
      </c>
      <c r="G7" s="35">
        <v>50000000000</v>
      </c>
      <c r="H7" s="35">
        <v>3000000000</v>
      </c>
      <c r="I7" s="35">
        <v>313000000000</v>
      </c>
      <c r="K7" s="131">
        <v>3565287</v>
      </c>
    </row>
    <row r="8" spans="1:11" x14ac:dyDescent="0.3">
      <c r="A8" s="136" t="s">
        <v>13</v>
      </c>
      <c r="B8" s="35">
        <v>181000000000</v>
      </c>
      <c r="C8" s="35">
        <v>538000000000</v>
      </c>
      <c r="D8" s="35">
        <v>538000000000</v>
      </c>
      <c r="E8" s="35">
        <v>103000000000</v>
      </c>
      <c r="F8" s="35">
        <v>931000000000</v>
      </c>
      <c r="G8" s="35">
        <v>471000000000</v>
      </c>
      <c r="H8" s="35">
        <v>61000000000</v>
      </c>
      <c r="I8" s="35">
        <v>2823000000000</v>
      </c>
      <c r="K8" s="131">
        <v>973764</v>
      </c>
    </row>
    <row r="9" spans="1:11" x14ac:dyDescent="0.3">
      <c r="A9" s="136" t="s">
        <v>14</v>
      </c>
      <c r="B9" s="35">
        <v>41000000000</v>
      </c>
      <c r="C9" s="35">
        <v>89000000000</v>
      </c>
      <c r="D9" s="35">
        <v>112000000000</v>
      </c>
      <c r="E9" s="35">
        <v>15000000000</v>
      </c>
      <c r="F9" s="35">
        <v>134000000000</v>
      </c>
      <c r="G9" s="35">
        <v>90000000000</v>
      </c>
      <c r="H9" s="35">
        <v>8000000000</v>
      </c>
      <c r="I9" s="35">
        <v>488000000000</v>
      </c>
      <c r="K9" s="131">
        <v>705749</v>
      </c>
    </row>
    <row r="10" spans="1:11" x14ac:dyDescent="0.3">
      <c r="A10" s="136" t="s">
        <v>15</v>
      </c>
      <c r="B10" s="35">
        <v>24000000000</v>
      </c>
      <c r="C10" s="35">
        <v>58000000000</v>
      </c>
      <c r="D10" s="35">
        <v>61000000000</v>
      </c>
      <c r="E10" s="35">
        <v>11000000000</v>
      </c>
      <c r="F10" s="35">
        <v>99000000000</v>
      </c>
      <c r="G10" s="35">
        <v>45000000000</v>
      </c>
      <c r="H10" s="35">
        <v>5000000000</v>
      </c>
      <c r="I10" s="35">
        <v>303000000000</v>
      </c>
      <c r="K10" s="131">
        <v>21477737</v>
      </c>
    </row>
    <row r="11" spans="1:11" x14ac:dyDescent="0.3">
      <c r="A11" s="136" t="s">
        <v>16</v>
      </c>
      <c r="B11" s="35">
        <v>9000000000</v>
      </c>
      <c r="C11" s="35">
        <v>18000000000</v>
      </c>
      <c r="D11" s="35">
        <v>25000000000</v>
      </c>
      <c r="E11" s="35">
        <v>3000000000</v>
      </c>
      <c r="F11" s="35">
        <v>27000000000</v>
      </c>
      <c r="G11" s="35">
        <v>16000000000</v>
      </c>
      <c r="H11" s="35">
        <v>2000000000</v>
      </c>
      <c r="I11" s="35">
        <v>101000000000</v>
      </c>
      <c r="K11" s="131">
        <v>10617423</v>
      </c>
    </row>
    <row r="12" spans="1:11" x14ac:dyDescent="0.3">
      <c r="A12" s="136" t="s">
        <v>17</v>
      </c>
      <c r="B12" s="35">
        <v>192000000000</v>
      </c>
      <c r="C12" s="35">
        <v>274000000000</v>
      </c>
      <c r="D12" s="35">
        <v>355000000000</v>
      </c>
      <c r="E12" s="35">
        <v>33000000000</v>
      </c>
      <c r="F12" s="35">
        <v>585000000000</v>
      </c>
      <c r="G12" s="35">
        <v>260000000000</v>
      </c>
      <c r="H12" s="35">
        <v>21000000000</v>
      </c>
      <c r="I12" s="35">
        <v>1721000000000</v>
      </c>
      <c r="K12" s="131">
        <v>1415872</v>
      </c>
    </row>
    <row r="13" spans="1:11" x14ac:dyDescent="0.3">
      <c r="A13" s="136" t="s">
        <v>18</v>
      </c>
      <c r="B13" s="35">
        <v>104000000000</v>
      </c>
      <c r="C13" s="35">
        <v>185000000000</v>
      </c>
      <c r="D13" s="35">
        <v>177000000000</v>
      </c>
      <c r="E13" s="35">
        <v>16000000000</v>
      </c>
      <c r="F13" s="35">
        <v>289000000000</v>
      </c>
      <c r="G13" s="35">
        <v>137000000000</v>
      </c>
      <c r="H13" s="35">
        <v>12000000000</v>
      </c>
      <c r="I13" s="35">
        <v>921000000000</v>
      </c>
      <c r="K13" s="131">
        <v>1787065</v>
      </c>
    </row>
    <row r="14" spans="1:11" x14ac:dyDescent="0.3">
      <c r="A14" s="136" t="s">
        <v>19</v>
      </c>
      <c r="B14" s="35">
        <v>7000000000</v>
      </c>
      <c r="C14" s="35">
        <v>17000000000</v>
      </c>
      <c r="D14" s="35">
        <v>1000000000</v>
      </c>
      <c r="E14" s="35">
        <v>4000000000</v>
      </c>
      <c r="F14" s="35">
        <v>33000000000</v>
      </c>
      <c r="G14" s="35">
        <v>21000000000</v>
      </c>
      <c r="H14" s="35">
        <v>2000000000</v>
      </c>
      <c r="I14" s="35">
        <v>84000000000</v>
      </c>
      <c r="K14" s="131">
        <v>12671821</v>
      </c>
    </row>
    <row r="15" spans="1:11" x14ac:dyDescent="0.3">
      <c r="A15" s="136" t="s">
        <v>20</v>
      </c>
      <c r="B15" s="35">
        <v>19000000000</v>
      </c>
      <c r="C15" s="35">
        <v>28000000000</v>
      </c>
      <c r="D15" s="35">
        <v>28000000000</v>
      </c>
      <c r="E15" s="35">
        <v>5000000000</v>
      </c>
      <c r="F15" s="35">
        <v>41000000000</v>
      </c>
      <c r="G15" s="35">
        <v>33000000000</v>
      </c>
      <c r="H15" s="35">
        <v>2000000000</v>
      </c>
      <c r="I15" s="35">
        <v>156000000000</v>
      </c>
      <c r="K15" s="131">
        <v>6732219</v>
      </c>
    </row>
    <row r="16" spans="1:11" x14ac:dyDescent="0.3">
      <c r="A16" s="136" t="s">
        <v>21</v>
      </c>
      <c r="B16" s="35">
        <v>113000000000</v>
      </c>
      <c r="C16" s="35">
        <v>176000000000</v>
      </c>
      <c r="D16" s="35">
        <v>253000000000</v>
      </c>
      <c r="E16" s="35">
        <v>38000000000</v>
      </c>
      <c r="F16" s="35">
        <v>353000000000</v>
      </c>
      <c r="G16" s="35">
        <v>168000000000</v>
      </c>
      <c r="H16" s="35">
        <v>18000000000</v>
      </c>
      <c r="I16" s="35">
        <v>1118000000000</v>
      </c>
      <c r="K16" s="131">
        <v>3155070</v>
      </c>
    </row>
    <row r="17" spans="1:11" x14ac:dyDescent="0.3">
      <c r="A17" s="136" t="s">
        <v>22</v>
      </c>
      <c r="B17" s="35">
        <v>63000000000</v>
      </c>
      <c r="C17" s="35">
        <v>115000000000</v>
      </c>
      <c r="D17" s="35">
        <v>188000000000</v>
      </c>
      <c r="E17" s="35">
        <v>20000000000</v>
      </c>
      <c r="F17" s="35">
        <v>185000000000</v>
      </c>
      <c r="G17" s="35">
        <v>105000000000</v>
      </c>
      <c r="H17" s="35">
        <v>8000000000</v>
      </c>
      <c r="I17" s="35">
        <v>685000000000</v>
      </c>
      <c r="K17" s="131">
        <v>2913314</v>
      </c>
    </row>
    <row r="18" spans="1:11" x14ac:dyDescent="0.3">
      <c r="A18" s="136" t="s">
        <v>23</v>
      </c>
      <c r="B18" s="35">
        <v>32000000000</v>
      </c>
      <c r="C18" s="35">
        <v>43000000000</v>
      </c>
      <c r="D18" s="35">
        <v>99000000000</v>
      </c>
      <c r="E18" s="35">
        <v>9000000000</v>
      </c>
      <c r="F18" s="35">
        <v>87000000000</v>
      </c>
      <c r="G18" s="35">
        <v>63000000000</v>
      </c>
      <c r="H18" s="35">
        <v>4000000000</v>
      </c>
      <c r="I18" s="35">
        <v>337000000000</v>
      </c>
      <c r="K18" s="131">
        <v>4467673</v>
      </c>
    </row>
    <row r="19" spans="1:11" x14ac:dyDescent="0.3">
      <c r="A19" s="136" t="s">
        <v>24</v>
      </c>
      <c r="B19" s="35">
        <v>34000000000</v>
      </c>
      <c r="C19" s="35">
        <v>61000000000</v>
      </c>
      <c r="D19" s="35">
        <v>69000000000</v>
      </c>
      <c r="E19" s="35">
        <v>9000000000</v>
      </c>
      <c r="F19" s="35">
        <v>81000000000</v>
      </c>
      <c r="G19" s="35">
        <v>46000000000</v>
      </c>
      <c r="H19" s="35">
        <v>3000000000</v>
      </c>
      <c r="I19" s="35">
        <v>303000000000</v>
      </c>
      <c r="K19" s="131">
        <v>4648794</v>
      </c>
    </row>
    <row r="20" spans="1:11" x14ac:dyDescent="0.3">
      <c r="A20" s="136" t="s">
        <v>25</v>
      </c>
      <c r="B20" s="35">
        <v>61000000000</v>
      </c>
      <c r="C20" s="35">
        <v>76000000000</v>
      </c>
      <c r="D20" s="35">
        <v>73000000000</v>
      </c>
      <c r="E20" s="35">
        <v>7000000000</v>
      </c>
      <c r="F20" s="35">
        <v>123000000000</v>
      </c>
      <c r="G20" s="35">
        <v>72000000000</v>
      </c>
      <c r="H20" s="35">
        <v>4000000000</v>
      </c>
      <c r="I20" s="35">
        <v>416000000000</v>
      </c>
      <c r="K20" s="131">
        <v>1344212</v>
      </c>
    </row>
    <row r="21" spans="1:11" x14ac:dyDescent="0.3">
      <c r="A21" s="136" t="s">
        <v>26</v>
      </c>
      <c r="B21" s="35">
        <v>54000000000</v>
      </c>
      <c r="C21" s="35">
        <v>105000000000</v>
      </c>
      <c r="D21" s="35">
        <v>404000000000</v>
      </c>
      <c r="E21" s="35">
        <v>7000000000</v>
      </c>
      <c r="F21" s="35">
        <v>128000000000</v>
      </c>
      <c r="G21" s="35">
        <v>69000000000</v>
      </c>
      <c r="H21" s="35">
        <v>5000000000</v>
      </c>
      <c r="I21" s="35">
        <v>772000000000</v>
      </c>
      <c r="K21" s="131">
        <v>6045680</v>
      </c>
    </row>
    <row r="22" spans="1:11" x14ac:dyDescent="0.3">
      <c r="A22" s="136" t="s">
        <v>27</v>
      </c>
      <c r="B22" s="35">
        <v>9000000000</v>
      </c>
      <c r="C22" s="35">
        <v>27000000000</v>
      </c>
      <c r="D22" s="35">
        <v>13000000000</v>
      </c>
      <c r="E22" s="35">
        <v>4000000000</v>
      </c>
      <c r="F22" s="35">
        <v>37000000000</v>
      </c>
      <c r="G22" s="35">
        <v>19000000000</v>
      </c>
      <c r="H22" s="35">
        <v>1000000000</v>
      </c>
      <c r="I22" s="35">
        <v>111000000000</v>
      </c>
      <c r="K22" s="131">
        <v>6892503</v>
      </c>
    </row>
    <row r="23" spans="1:11" x14ac:dyDescent="0.3">
      <c r="A23" s="136" t="s">
        <v>28</v>
      </c>
      <c r="B23" s="35">
        <v>48000000000</v>
      </c>
      <c r="C23" s="35">
        <v>74000000000</v>
      </c>
      <c r="D23" s="35">
        <v>57000000000</v>
      </c>
      <c r="E23" s="35">
        <v>19000000000</v>
      </c>
      <c r="F23" s="35">
        <v>167000000000</v>
      </c>
      <c r="G23" s="35">
        <v>66000000000</v>
      </c>
      <c r="H23" s="35">
        <v>8000000000</v>
      </c>
      <c r="I23" s="35">
        <v>440000000000</v>
      </c>
      <c r="K23" s="131">
        <v>9986857</v>
      </c>
    </row>
    <row r="24" spans="1:11" x14ac:dyDescent="0.3">
      <c r="A24" s="136" t="s">
        <v>29</v>
      </c>
      <c r="B24" s="35">
        <v>43000000000</v>
      </c>
      <c r="C24" s="35">
        <v>89000000000</v>
      </c>
      <c r="D24" s="35">
        <v>115000000000</v>
      </c>
      <c r="E24" s="35">
        <v>22000000000</v>
      </c>
      <c r="F24" s="35">
        <v>191000000000</v>
      </c>
      <c r="G24" s="35">
        <v>81000000000</v>
      </c>
      <c r="H24" s="35">
        <v>12000000000</v>
      </c>
      <c r="I24" s="35">
        <v>553000000000</v>
      </c>
      <c r="K24" s="131">
        <v>5639632</v>
      </c>
    </row>
    <row r="25" spans="1:11" x14ac:dyDescent="0.3">
      <c r="A25" s="136" t="s">
        <v>30</v>
      </c>
      <c r="B25" s="35">
        <v>74000000000</v>
      </c>
      <c r="C25" s="35">
        <v>174000000000</v>
      </c>
      <c r="D25" s="35">
        <v>223000000000</v>
      </c>
      <c r="E25" s="35">
        <v>30000000000</v>
      </c>
      <c r="F25" s="35">
        <v>277000000000</v>
      </c>
      <c r="G25" s="35">
        <v>142000000000</v>
      </c>
      <c r="H25" s="35">
        <v>11000000000</v>
      </c>
      <c r="I25" s="35">
        <v>931000000000</v>
      </c>
      <c r="K25" s="131">
        <v>2976149</v>
      </c>
    </row>
    <row r="26" spans="1:11" x14ac:dyDescent="0.3">
      <c r="A26" s="136" t="s">
        <v>31</v>
      </c>
      <c r="B26" s="35">
        <v>57000000000</v>
      </c>
      <c r="C26" s="35">
        <v>85000000000</v>
      </c>
      <c r="D26" s="35">
        <v>118000000000</v>
      </c>
      <c r="E26" s="35">
        <v>17000000000</v>
      </c>
      <c r="F26" s="35">
        <v>155000000000</v>
      </c>
      <c r="G26" s="35">
        <v>90000000000</v>
      </c>
      <c r="H26" s="35">
        <v>8000000000</v>
      </c>
      <c r="I26" s="35">
        <v>529000000000</v>
      </c>
      <c r="K26" s="131">
        <v>6137428</v>
      </c>
    </row>
    <row r="27" spans="1:11" x14ac:dyDescent="0.3">
      <c r="A27" s="136" t="s">
        <v>32</v>
      </c>
      <c r="B27" s="35">
        <v>40000000000</v>
      </c>
      <c r="C27" s="35">
        <v>63000000000</v>
      </c>
      <c r="D27" s="35">
        <v>136000000000</v>
      </c>
      <c r="E27" s="35">
        <v>5000000000</v>
      </c>
      <c r="F27" s="35">
        <v>82000000000</v>
      </c>
      <c r="G27" s="35">
        <v>36000000000</v>
      </c>
      <c r="H27" s="35">
        <v>3000000000</v>
      </c>
      <c r="I27" s="35">
        <v>364000000000</v>
      </c>
      <c r="K27" s="131">
        <v>1068778</v>
      </c>
    </row>
    <row r="28" spans="1:11" x14ac:dyDescent="0.3">
      <c r="A28" s="136" t="s">
        <v>33</v>
      </c>
      <c r="B28" s="35">
        <v>62000000000</v>
      </c>
      <c r="C28" s="35">
        <v>108000000000</v>
      </c>
      <c r="D28" s="35">
        <v>66000000000</v>
      </c>
      <c r="E28" s="35">
        <v>9000000000</v>
      </c>
      <c r="F28" s="35">
        <v>168000000000</v>
      </c>
      <c r="G28" s="35">
        <v>97000000000</v>
      </c>
      <c r="H28" s="35">
        <v>6000000000</v>
      </c>
      <c r="I28" s="35">
        <v>518000000000</v>
      </c>
      <c r="K28" s="131">
        <v>1934408</v>
      </c>
    </row>
    <row r="29" spans="1:11" x14ac:dyDescent="0.3">
      <c r="A29" s="136" t="s">
        <v>34</v>
      </c>
      <c r="B29" s="35">
        <v>11000000000</v>
      </c>
      <c r="C29" s="35">
        <v>28000000000</v>
      </c>
      <c r="D29" s="35">
        <v>20000000000</v>
      </c>
      <c r="E29" s="35">
        <v>3000000000</v>
      </c>
      <c r="F29" s="35">
        <v>25000000000</v>
      </c>
      <c r="G29" s="35">
        <v>30000000000</v>
      </c>
      <c r="H29" s="35">
        <v>1000000000</v>
      </c>
      <c r="I29" s="35">
        <v>118000000000</v>
      </c>
      <c r="K29" s="131">
        <v>3080156</v>
      </c>
    </row>
    <row r="30" spans="1:11" x14ac:dyDescent="0.3">
      <c r="A30" s="136" t="s">
        <v>35</v>
      </c>
      <c r="B30" s="35">
        <v>22000000000</v>
      </c>
      <c r="C30" s="35">
        <v>31000000000</v>
      </c>
      <c r="D30" s="35">
        <v>42000000000</v>
      </c>
      <c r="E30" s="35">
        <v>6000000000</v>
      </c>
      <c r="F30" s="35">
        <v>53000000000</v>
      </c>
      <c r="G30" s="35">
        <v>35000000000</v>
      </c>
      <c r="H30" s="35">
        <v>3000000000</v>
      </c>
      <c r="I30" s="35">
        <v>192000000000</v>
      </c>
      <c r="K30" s="131">
        <v>1359711</v>
      </c>
    </row>
    <row r="31" spans="1:11" x14ac:dyDescent="0.3">
      <c r="A31" s="136" t="s">
        <v>36</v>
      </c>
      <c r="B31" s="35">
        <v>29000000000</v>
      </c>
      <c r="C31" s="35">
        <v>45000000000</v>
      </c>
      <c r="D31" s="35">
        <v>75000000000</v>
      </c>
      <c r="E31" s="35">
        <v>8000000000</v>
      </c>
      <c r="F31" s="35">
        <v>71000000000</v>
      </c>
      <c r="G31" s="35">
        <v>39000000000</v>
      </c>
      <c r="H31" s="35">
        <v>3000000000</v>
      </c>
      <c r="I31" s="35">
        <v>270000000000</v>
      </c>
      <c r="K31" s="131">
        <v>8882190</v>
      </c>
    </row>
    <row r="32" spans="1:11" x14ac:dyDescent="0.3">
      <c r="A32" s="136" t="s">
        <v>37</v>
      </c>
      <c r="B32" s="35">
        <v>9000000000</v>
      </c>
      <c r="C32" s="35">
        <v>21000000000</v>
      </c>
      <c r="D32" s="35">
        <v>13000000000</v>
      </c>
      <c r="E32" s="35">
        <v>4000000000</v>
      </c>
      <c r="F32" s="35">
        <v>38000000000</v>
      </c>
      <c r="G32" s="35">
        <v>22000000000</v>
      </c>
      <c r="H32" s="35">
        <v>2000000000</v>
      </c>
      <c r="I32" s="35">
        <v>108000000000</v>
      </c>
      <c r="K32" s="131">
        <v>2096829</v>
      </c>
    </row>
    <row r="33" spans="1:11" x14ac:dyDescent="0.3">
      <c r="A33" s="136" t="s">
        <v>38</v>
      </c>
      <c r="B33" s="35">
        <v>56000000000</v>
      </c>
      <c r="C33" s="35">
        <v>139000000000</v>
      </c>
      <c r="D33" s="35">
        <v>181000000000</v>
      </c>
      <c r="E33" s="35">
        <v>29000000000</v>
      </c>
      <c r="F33" s="35">
        <v>247000000000</v>
      </c>
      <c r="G33" s="35">
        <v>94000000000</v>
      </c>
      <c r="H33" s="35">
        <v>13000000000</v>
      </c>
      <c r="I33" s="35">
        <v>757000000000</v>
      </c>
      <c r="K33" s="131">
        <v>19453561</v>
      </c>
    </row>
    <row r="34" spans="1:11" x14ac:dyDescent="0.3">
      <c r="A34" s="136" t="s">
        <v>39</v>
      </c>
      <c r="B34" s="35">
        <v>19000000000</v>
      </c>
      <c r="C34" s="35">
        <v>39000000000</v>
      </c>
      <c r="D34" s="35">
        <v>61000000000</v>
      </c>
      <c r="E34" s="35">
        <v>5000000000</v>
      </c>
      <c r="F34" s="35">
        <v>49000000000</v>
      </c>
      <c r="G34" s="35">
        <v>32000000000</v>
      </c>
      <c r="H34" s="35">
        <v>2000000000</v>
      </c>
      <c r="I34" s="35">
        <v>208000000000</v>
      </c>
      <c r="K34" s="131">
        <v>10488084</v>
      </c>
    </row>
    <row r="35" spans="1:11" x14ac:dyDescent="0.3">
      <c r="A35" s="136" t="s">
        <v>40</v>
      </c>
      <c r="B35" s="35">
        <v>119000000000</v>
      </c>
      <c r="C35" s="35">
        <v>208000000000</v>
      </c>
      <c r="D35" s="35">
        <v>320000000000</v>
      </c>
      <c r="E35" s="35">
        <v>63000000000</v>
      </c>
      <c r="F35" s="35">
        <v>541000000000</v>
      </c>
      <c r="G35" s="35">
        <v>181000000000</v>
      </c>
      <c r="H35" s="35">
        <v>34000000000</v>
      </c>
      <c r="I35" s="35">
        <v>1465000000000</v>
      </c>
      <c r="K35" s="131">
        <v>762062</v>
      </c>
    </row>
    <row r="36" spans="1:11" x14ac:dyDescent="0.3">
      <c r="A36" s="136" t="s">
        <v>41</v>
      </c>
      <c r="B36" s="35">
        <v>92000000000</v>
      </c>
      <c r="C36" s="35">
        <v>166000000000</v>
      </c>
      <c r="D36" s="35">
        <v>130000000000</v>
      </c>
      <c r="E36" s="35">
        <v>16000000000</v>
      </c>
      <c r="F36" s="35">
        <v>285000000000</v>
      </c>
      <c r="G36" s="35">
        <v>138000000000</v>
      </c>
      <c r="H36" s="35">
        <v>12000000000</v>
      </c>
      <c r="I36" s="35">
        <v>839000000000</v>
      </c>
      <c r="K36" s="131">
        <v>11689100</v>
      </c>
    </row>
    <row r="37" spans="1:11" x14ac:dyDescent="0.3">
      <c r="A37" s="136" t="s">
        <v>42</v>
      </c>
      <c r="B37" s="35">
        <v>17000000000</v>
      </c>
      <c r="C37" s="35">
        <v>15000000000</v>
      </c>
      <c r="D37" s="35">
        <v>29000000000</v>
      </c>
      <c r="E37" s="35">
        <v>2000000000</v>
      </c>
      <c r="F37" s="35">
        <v>21000000000</v>
      </c>
      <c r="G37" s="35">
        <v>17000000000</v>
      </c>
      <c r="H37" s="35">
        <v>1000000000</v>
      </c>
      <c r="I37" s="35">
        <v>102000000000</v>
      </c>
      <c r="K37" s="131">
        <v>3956971</v>
      </c>
    </row>
    <row r="38" spans="1:11" x14ac:dyDescent="0.3">
      <c r="A38" s="136" t="s">
        <v>43</v>
      </c>
      <c r="B38" s="35">
        <v>98000000000</v>
      </c>
      <c r="C38" s="35">
        <v>182000000000</v>
      </c>
      <c r="D38" s="35">
        <v>241000000000</v>
      </c>
      <c r="E38" s="35">
        <v>35000000000</v>
      </c>
      <c r="F38" s="35">
        <v>324000000000</v>
      </c>
      <c r="G38" s="35">
        <v>173000000000</v>
      </c>
      <c r="H38" s="35">
        <v>14000000000</v>
      </c>
      <c r="I38" s="35">
        <v>1066000000000</v>
      </c>
      <c r="K38" s="131">
        <v>4217737</v>
      </c>
    </row>
    <row r="39" spans="1:11" x14ac:dyDescent="0.3">
      <c r="A39" s="136" t="s">
        <v>44</v>
      </c>
      <c r="B39" s="35">
        <v>47000000000</v>
      </c>
      <c r="C39" s="35">
        <v>77000000000</v>
      </c>
      <c r="D39" s="35">
        <v>171000000000</v>
      </c>
      <c r="E39" s="35">
        <v>12000000000</v>
      </c>
      <c r="F39" s="35">
        <v>109000000000</v>
      </c>
      <c r="G39" s="35">
        <v>65000000000</v>
      </c>
      <c r="H39" s="35">
        <v>4000000000</v>
      </c>
      <c r="I39" s="35">
        <v>485000000000</v>
      </c>
      <c r="K39" s="131">
        <v>12801989</v>
      </c>
    </row>
    <row r="40" spans="1:11" x14ac:dyDescent="0.3">
      <c r="A40" s="136" t="s">
        <v>45</v>
      </c>
      <c r="B40" s="35">
        <v>42000000000</v>
      </c>
      <c r="C40" s="35">
        <v>58000000000</v>
      </c>
      <c r="D40" s="35">
        <v>59000000000</v>
      </c>
      <c r="E40" s="35">
        <v>11000000000</v>
      </c>
      <c r="F40" s="35">
        <v>99000000000</v>
      </c>
      <c r="G40" s="35">
        <v>65000000000</v>
      </c>
      <c r="H40" s="35">
        <v>5000000000</v>
      </c>
      <c r="I40" s="35">
        <v>339000000000</v>
      </c>
      <c r="K40" s="131">
        <v>1059361</v>
      </c>
    </row>
    <row r="41" spans="1:11" x14ac:dyDescent="0.3">
      <c r="A41" s="136" t="s">
        <v>46</v>
      </c>
      <c r="B41" s="35">
        <v>117000000000</v>
      </c>
      <c r="C41" s="35">
        <v>131000000000</v>
      </c>
      <c r="D41" s="35">
        <v>322000000000</v>
      </c>
      <c r="E41" s="35">
        <v>41000000000</v>
      </c>
      <c r="F41" s="35">
        <v>355000000000</v>
      </c>
      <c r="G41" s="35">
        <v>176000000000</v>
      </c>
      <c r="H41" s="35">
        <v>16000000000</v>
      </c>
      <c r="I41" s="35">
        <v>1156000000000</v>
      </c>
      <c r="K41" s="131">
        <v>5148714</v>
      </c>
    </row>
    <row r="42" spans="1:11" x14ac:dyDescent="0.3">
      <c r="A42" s="136" t="s">
        <v>47</v>
      </c>
      <c r="B42" s="35">
        <v>6000000000</v>
      </c>
      <c r="C42" s="35">
        <v>25000000000</v>
      </c>
      <c r="D42" s="35">
        <v>21000000000</v>
      </c>
      <c r="E42" s="35">
        <v>3000000000</v>
      </c>
      <c r="F42" s="35">
        <v>29000000000</v>
      </c>
      <c r="G42" s="35">
        <v>13000000000</v>
      </c>
      <c r="H42" s="35">
        <v>1000000000</v>
      </c>
      <c r="I42" s="35">
        <v>100000000000</v>
      </c>
      <c r="K42" s="131">
        <v>884659</v>
      </c>
    </row>
    <row r="43" spans="1:11" x14ac:dyDescent="0.3">
      <c r="A43" s="136" t="s">
        <v>48</v>
      </c>
      <c r="B43" s="35">
        <v>53000000000</v>
      </c>
      <c r="C43" s="35">
        <v>99000000000</v>
      </c>
      <c r="D43" s="35">
        <v>70000000000</v>
      </c>
      <c r="E43" s="35">
        <v>8000000000</v>
      </c>
      <c r="F43" s="35">
        <v>140000000000</v>
      </c>
      <c r="G43" s="35">
        <v>72000000000</v>
      </c>
      <c r="H43" s="35">
        <v>5000000000</v>
      </c>
      <c r="I43" s="35">
        <v>446000000000</v>
      </c>
      <c r="K43" s="131">
        <v>6829174</v>
      </c>
    </row>
    <row r="44" spans="1:11" x14ac:dyDescent="0.3">
      <c r="A44" s="136" t="s">
        <v>49</v>
      </c>
      <c r="B44" s="35">
        <v>10000000000</v>
      </c>
      <c r="C44" s="35">
        <v>17000000000</v>
      </c>
      <c r="D44" s="35">
        <v>21000000000</v>
      </c>
      <c r="E44" s="35">
        <v>3000000000</v>
      </c>
      <c r="F44" s="35">
        <v>24000000000</v>
      </c>
      <c r="G44" s="35">
        <v>22000000000</v>
      </c>
      <c r="H44" s="35">
        <v>1000000000</v>
      </c>
      <c r="I44" s="35">
        <v>98000000000</v>
      </c>
      <c r="K44" s="131">
        <v>28995881</v>
      </c>
    </row>
    <row r="45" spans="1:11" x14ac:dyDescent="0.3">
      <c r="A45" s="136" t="s">
        <v>50</v>
      </c>
      <c r="B45" s="35">
        <v>74000000000</v>
      </c>
      <c r="C45" s="35">
        <v>131000000000</v>
      </c>
      <c r="D45" s="35">
        <v>82000000000</v>
      </c>
      <c r="E45" s="35">
        <v>10000000000</v>
      </c>
      <c r="F45" s="35">
        <v>186000000000</v>
      </c>
      <c r="G45" s="35">
        <v>96000000000</v>
      </c>
      <c r="H45" s="35">
        <v>8000000000</v>
      </c>
      <c r="I45" s="35">
        <v>588000000000</v>
      </c>
      <c r="K45" s="131">
        <v>3205958</v>
      </c>
    </row>
    <row r="46" spans="1:11" x14ac:dyDescent="0.3">
      <c r="A46" s="136" t="s">
        <v>51</v>
      </c>
      <c r="B46" s="35">
        <v>322000000000</v>
      </c>
      <c r="C46" s="35">
        <v>593000000000</v>
      </c>
      <c r="D46" s="35">
        <v>990000000000</v>
      </c>
      <c r="E46" s="35">
        <v>44000000000</v>
      </c>
      <c r="F46" s="35">
        <v>789000000000</v>
      </c>
      <c r="G46" s="35">
        <v>382000000000</v>
      </c>
      <c r="H46" s="35">
        <v>37000000000</v>
      </c>
      <c r="I46" s="35">
        <v>3157000000000</v>
      </c>
      <c r="K46" s="131">
        <v>623989</v>
      </c>
    </row>
    <row r="47" spans="1:11" x14ac:dyDescent="0.3">
      <c r="A47" s="136" t="s">
        <v>53</v>
      </c>
      <c r="B47" s="35">
        <v>19000000000</v>
      </c>
      <c r="C47" s="35">
        <v>50000000000</v>
      </c>
      <c r="D47" s="35">
        <v>57000000000</v>
      </c>
      <c r="E47" s="35">
        <v>8000000000</v>
      </c>
      <c r="F47" s="35">
        <v>74000000000</v>
      </c>
      <c r="G47" s="35">
        <v>39000000000</v>
      </c>
      <c r="H47" s="35">
        <v>4000000000</v>
      </c>
      <c r="I47" s="35">
        <v>251000000000</v>
      </c>
      <c r="K47" s="131">
        <v>8535519</v>
      </c>
    </row>
    <row r="48" spans="1:11" x14ac:dyDescent="0.3">
      <c r="A48" s="136" t="s">
        <v>54</v>
      </c>
      <c r="B48" s="35">
        <v>4000000000</v>
      </c>
      <c r="C48" s="35">
        <v>12000000000</v>
      </c>
      <c r="D48" s="35">
        <v>3000000000</v>
      </c>
      <c r="E48" s="35">
        <v>2000000000</v>
      </c>
      <c r="F48" s="35">
        <v>17000000000</v>
      </c>
      <c r="G48" s="35">
        <v>10000000000</v>
      </c>
      <c r="H48" s="35">
        <v>1000000000</v>
      </c>
      <c r="I48" s="35">
        <v>50000000000</v>
      </c>
      <c r="K48" s="131">
        <v>7614893</v>
      </c>
    </row>
    <row r="49" spans="1:11" x14ac:dyDescent="0.3">
      <c r="A49" s="136" t="s">
        <v>55</v>
      </c>
      <c r="B49" s="35">
        <v>90000000000</v>
      </c>
      <c r="C49" s="35">
        <v>125000000000</v>
      </c>
      <c r="D49" s="35">
        <v>148000000000</v>
      </c>
      <c r="E49" s="35">
        <v>13000000000</v>
      </c>
      <c r="F49" s="35">
        <v>234000000000</v>
      </c>
      <c r="G49" s="35">
        <v>119000000000</v>
      </c>
      <c r="H49" s="35">
        <v>11000000000</v>
      </c>
      <c r="I49" s="35">
        <v>741000000000</v>
      </c>
      <c r="K49" s="131">
        <v>1792147</v>
      </c>
    </row>
    <row r="50" spans="1:11" x14ac:dyDescent="0.3">
      <c r="A50" s="136" t="s">
        <v>56</v>
      </c>
      <c r="B50" s="35">
        <v>78000000000</v>
      </c>
      <c r="C50" s="35">
        <v>107000000000</v>
      </c>
      <c r="D50" s="35">
        <v>82000000000</v>
      </c>
      <c r="E50" s="35">
        <v>20000000000</v>
      </c>
      <c r="F50" s="35">
        <v>177000000000</v>
      </c>
      <c r="G50" s="35">
        <v>117000000000</v>
      </c>
      <c r="H50" s="35">
        <v>12000000000</v>
      </c>
      <c r="I50" s="35">
        <v>593000000000</v>
      </c>
      <c r="K50" s="131">
        <v>5822434</v>
      </c>
    </row>
    <row r="51" spans="1:11" x14ac:dyDescent="0.3">
      <c r="A51" s="136" t="s">
        <v>57</v>
      </c>
      <c r="B51" s="35">
        <v>26000000000</v>
      </c>
      <c r="C51" s="35">
        <v>28000000000</v>
      </c>
      <c r="D51" s="35">
        <v>48000000000</v>
      </c>
      <c r="E51" s="35">
        <v>3000000000</v>
      </c>
      <c r="F51" s="35">
        <v>50000000000</v>
      </c>
      <c r="G51" s="35">
        <v>30000000000</v>
      </c>
      <c r="H51" s="35">
        <v>2000000000</v>
      </c>
      <c r="I51" s="35">
        <v>187000000000</v>
      </c>
      <c r="K51" s="131">
        <v>578759</v>
      </c>
    </row>
    <row r="52" spans="1:11" x14ac:dyDescent="0.3">
      <c r="A52" s="136" t="s">
        <v>58</v>
      </c>
      <c r="B52" s="35">
        <v>55000000000</v>
      </c>
      <c r="C52" s="35">
        <v>94000000000</v>
      </c>
      <c r="D52" s="35">
        <v>123000000000</v>
      </c>
      <c r="E52" s="35">
        <v>17000000000</v>
      </c>
      <c r="F52" s="35">
        <v>161000000000</v>
      </c>
      <c r="G52" s="35">
        <v>92000000000</v>
      </c>
      <c r="H52" s="35">
        <v>7000000000</v>
      </c>
      <c r="I52" s="35">
        <v>550000000000</v>
      </c>
    </row>
    <row r="53" spans="1:11" x14ac:dyDescent="0.3">
      <c r="A53" s="136" t="s">
        <v>59</v>
      </c>
      <c r="B53" s="35">
        <v>13000000000</v>
      </c>
      <c r="C53" s="35">
        <v>14000000000</v>
      </c>
      <c r="D53" s="35">
        <v>32000000000</v>
      </c>
      <c r="E53" s="35">
        <v>2000000000</v>
      </c>
      <c r="F53" s="35">
        <v>14000000000</v>
      </c>
      <c r="G53" s="35">
        <v>17000000000</v>
      </c>
      <c r="H53" s="35">
        <v>1000000000</v>
      </c>
      <c r="I53" s="35">
        <v>92000000000</v>
      </c>
    </row>
    <row r="54" spans="1:11" x14ac:dyDescent="0.3">
      <c r="A54" s="136" t="s">
        <v>351</v>
      </c>
      <c r="B54" s="35">
        <v>2876000000000</v>
      </c>
      <c r="C54" s="35">
        <v>5106000000000</v>
      </c>
      <c r="D54" s="35">
        <v>6874000000000</v>
      </c>
      <c r="E54" s="35">
        <v>788000000000</v>
      </c>
      <c r="F54" s="35">
        <v>8688000000000</v>
      </c>
      <c r="G54" s="35">
        <v>4458000000000</v>
      </c>
      <c r="H54" s="35">
        <v>420000000000</v>
      </c>
      <c r="I54" s="35">
        <v>29210000000000</v>
      </c>
    </row>
  </sheetData>
  <pageMargins left="0.7" right="0.7" top="0.75" bottom="0.75" header="0.3" footer="0.3"/>
  <pageSetup orientation="portrait" horizontalDpi="0"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D6999-960F-4F9D-AD10-7BAC4CC7BCE0}">
  <dimension ref="A2:G55"/>
  <sheetViews>
    <sheetView workbookViewId="0">
      <selection activeCell="B2" sqref="B2"/>
    </sheetView>
  </sheetViews>
  <sheetFormatPr defaultRowHeight="14.4" x14ac:dyDescent="0.3"/>
  <cols>
    <col min="1" max="1" width="10.5546875" customWidth="1"/>
    <col min="2" max="2" width="11.33203125" customWidth="1"/>
    <col min="4" max="4" width="12" bestFit="1" customWidth="1"/>
  </cols>
  <sheetData>
    <row r="2" spans="1:7" x14ac:dyDescent="0.3">
      <c r="B2" t="s">
        <v>529</v>
      </c>
    </row>
    <row r="4" spans="1:7" s="12" customFormat="1" ht="72" x14ac:dyDescent="0.3">
      <c r="B4" s="12" t="s">
        <v>323</v>
      </c>
      <c r="C4" s="12" t="s">
        <v>324</v>
      </c>
      <c r="D4" s="12" t="s">
        <v>330</v>
      </c>
    </row>
    <row r="5" spans="1:7" x14ac:dyDescent="0.3">
      <c r="A5" t="s">
        <v>9</v>
      </c>
      <c r="B5" s="64">
        <v>1343.0543297034574</v>
      </c>
      <c r="C5">
        <f>'Cost Data'!$C$15</f>
        <v>100</v>
      </c>
      <c r="D5">
        <f>B5*10^6*C5</f>
        <v>134305432970.34573</v>
      </c>
    </row>
    <row r="6" spans="1:7" x14ac:dyDescent="0.3">
      <c r="A6" t="s">
        <v>10</v>
      </c>
      <c r="B6" s="64">
        <v>173.59566353486949</v>
      </c>
      <c r="C6">
        <f>'Cost Data'!$C$15</f>
        <v>100</v>
      </c>
      <c r="D6">
        <f t="shared" ref="D6:D55" si="0">B6*10^6*C6</f>
        <v>17359566353.48695</v>
      </c>
    </row>
    <row r="7" spans="1:7" x14ac:dyDescent="0.3">
      <c r="A7" t="s">
        <v>11</v>
      </c>
      <c r="B7" s="64">
        <v>1688.2322934364552</v>
      </c>
      <c r="C7">
        <f>'Cost Data'!$C$15</f>
        <v>100</v>
      </c>
      <c r="D7">
        <f t="shared" si="0"/>
        <v>168823229343.64554</v>
      </c>
    </row>
    <row r="8" spans="1:7" x14ac:dyDescent="0.3">
      <c r="A8" t="s">
        <v>12</v>
      </c>
      <c r="B8" s="64">
        <v>828.11733681566534</v>
      </c>
      <c r="C8">
        <f>'Cost Data'!$C$15</f>
        <v>100</v>
      </c>
      <c r="D8">
        <f t="shared" si="0"/>
        <v>82811733681.566544</v>
      </c>
    </row>
    <row r="9" spans="1:7" x14ac:dyDescent="0.3">
      <c r="A9" t="s">
        <v>13</v>
      </c>
      <c r="B9" s="64">
        <v>9311.8763533391175</v>
      </c>
      <c r="C9">
        <f>'Cost Data'!$C$15</f>
        <v>100</v>
      </c>
      <c r="D9">
        <f t="shared" si="0"/>
        <v>931187635333.91174</v>
      </c>
    </row>
    <row r="10" spans="1:7" x14ac:dyDescent="0.3">
      <c r="A10" t="s">
        <v>14</v>
      </c>
      <c r="B10" s="64">
        <v>1340.7570694557583</v>
      </c>
      <c r="C10">
        <f>'Cost Data'!$C$15</f>
        <v>100</v>
      </c>
      <c r="D10">
        <f t="shared" si="0"/>
        <v>134075706945.57584</v>
      </c>
    </row>
    <row r="11" spans="1:7" ht="15.6" x14ac:dyDescent="0.3">
      <c r="A11" t="s">
        <v>15</v>
      </c>
      <c r="B11" s="64">
        <v>989.06987887365347</v>
      </c>
      <c r="C11">
        <f>'Cost Data'!$C$15</f>
        <v>100</v>
      </c>
      <c r="D11">
        <f t="shared" si="0"/>
        <v>98906987887.365341</v>
      </c>
      <c r="G11" s="153" t="s">
        <v>526</v>
      </c>
    </row>
    <row r="12" spans="1:7" ht="15.6" x14ac:dyDescent="0.3">
      <c r="A12" t="s">
        <v>16</v>
      </c>
      <c r="B12" s="64">
        <v>267.75522021239334</v>
      </c>
      <c r="C12">
        <f>'Cost Data'!$C$15</f>
        <v>100</v>
      </c>
      <c r="D12">
        <f t="shared" si="0"/>
        <v>26775522021.239334</v>
      </c>
      <c r="G12" s="153" t="s">
        <v>527</v>
      </c>
    </row>
    <row r="13" spans="1:7" x14ac:dyDescent="0.3">
      <c r="A13" t="s">
        <v>17</v>
      </c>
      <c r="B13" s="64">
        <v>5852.4766019829694</v>
      </c>
      <c r="C13">
        <f>'Cost Data'!$C$15</f>
        <v>100</v>
      </c>
      <c r="D13">
        <f t="shared" si="0"/>
        <v>585247660198.29688</v>
      </c>
    </row>
    <row r="14" spans="1:7" x14ac:dyDescent="0.3">
      <c r="A14" t="s">
        <v>18</v>
      </c>
      <c r="B14" s="64">
        <v>2890.4663083287755</v>
      </c>
      <c r="C14">
        <f>'Cost Data'!$C$15</f>
        <v>100</v>
      </c>
      <c r="D14">
        <f t="shared" si="0"/>
        <v>289046630832.87756</v>
      </c>
      <c r="G14" s="154" t="s">
        <v>528</v>
      </c>
    </row>
    <row r="15" spans="1:7" x14ac:dyDescent="0.3">
      <c r="A15" t="s">
        <v>19</v>
      </c>
      <c r="B15" s="64">
        <v>334.38889464647917</v>
      </c>
      <c r="C15">
        <f>'Cost Data'!$C$15</f>
        <v>100</v>
      </c>
      <c r="D15">
        <f t="shared" si="0"/>
        <v>33438889464.647919</v>
      </c>
    </row>
    <row r="16" spans="1:7" x14ac:dyDescent="0.3">
      <c r="A16" t="s">
        <v>20</v>
      </c>
      <c r="B16" s="64">
        <v>412.94712469139961</v>
      </c>
      <c r="C16">
        <f>'Cost Data'!$C$15</f>
        <v>100</v>
      </c>
      <c r="D16">
        <f t="shared" si="0"/>
        <v>41294712469.139961</v>
      </c>
    </row>
    <row r="17" spans="1:4" x14ac:dyDescent="0.3">
      <c r="A17" t="s">
        <v>21</v>
      </c>
      <c r="B17" s="64">
        <v>3528.8087352330767</v>
      </c>
      <c r="C17">
        <f>'Cost Data'!$C$15</f>
        <v>100</v>
      </c>
      <c r="D17">
        <f t="shared" si="0"/>
        <v>352880873523.30768</v>
      </c>
    </row>
    <row r="18" spans="1:4" x14ac:dyDescent="0.3">
      <c r="A18" t="s">
        <v>22</v>
      </c>
      <c r="B18" s="64">
        <v>1853.4031292099296</v>
      </c>
      <c r="C18">
        <f>'Cost Data'!$C$15</f>
        <v>100</v>
      </c>
      <c r="D18">
        <f t="shared" si="0"/>
        <v>185340312920.99298</v>
      </c>
    </row>
    <row r="19" spans="1:4" x14ac:dyDescent="0.3">
      <c r="A19" t="s">
        <v>23</v>
      </c>
      <c r="B19" s="64">
        <v>874.13563415834437</v>
      </c>
      <c r="C19">
        <f>'Cost Data'!$C$15</f>
        <v>100</v>
      </c>
      <c r="D19">
        <f t="shared" si="0"/>
        <v>87413563415.834442</v>
      </c>
    </row>
    <row r="20" spans="1:4" x14ac:dyDescent="0.3">
      <c r="A20" t="s">
        <v>24</v>
      </c>
      <c r="B20" s="64">
        <v>806.37938672975747</v>
      </c>
      <c r="C20">
        <f>'Cost Data'!$C$15</f>
        <v>100</v>
      </c>
      <c r="D20">
        <f t="shared" si="0"/>
        <v>80637938672.975739</v>
      </c>
    </row>
    <row r="21" spans="1:4" x14ac:dyDescent="0.3">
      <c r="A21" t="s">
        <v>25</v>
      </c>
      <c r="B21" s="64">
        <v>1227.7956298264805</v>
      </c>
      <c r="C21">
        <f>'Cost Data'!$C$15</f>
        <v>100</v>
      </c>
      <c r="D21">
        <f t="shared" si="0"/>
        <v>122779562982.64806</v>
      </c>
    </row>
    <row r="22" spans="1:4" x14ac:dyDescent="0.3">
      <c r="A22" t="s">
        <v>26</v>
      </c>
      <c r="B22" s="64">
        <v>1280.4355166539499</v>
      </c>
      <c r="C22">
        <f>'Cost Data'!$C$15</f>
        <v>100</v>
      </c>
      <c r="D22">
        <f t="shared" si="0"/>
        <v>128043551665.395</v>
      </c>
    </row>
    <row r="23" spans="1:4" x14ac:dyDescent="0.3">
      <c r="A23" t="s">
        <v>27</v>
      </c>
      <c r="B23" s="64">
        <v>370.5287459540744</v>
      </c>
      <c r="C23">
        <f>'Cost Data'!$C$15</f>
        <v>100</v>
      </c>
      <c r="D23">
        <f t="shared" si="0"/>
        <v>37052874595.40744</v>
      </c>
    </row>
    <row r="24" spans="1:4" x14ac:dyDescent="0.3">
      <c r="A24" t="s">
        <v>28</v>
      </c>
      <c r="B24" s="64">
        <v>1672.8885468768119</v>
      </c>
      <c r="C24">
        <f>'Cost Data'!$C$15</f>
        <v>100</v>
      </c>
      <c r="D24">
        <f t="shared" si="0"/>
        <v>167288854687.68121</v>
      </c>
    </row>
    <row r="25" spans="1:4" x14ac:dyDescent="0.3">
      <c r="A25" t="s">
        <v>29</v>
      </c>
      <c r="B25" s="64">
        <v>1910.8166243960484</v>
      </c>
      <c r="C25">
        <f>'Cost Data'!$C$15</f>
        <v>100</v>
      </c>
      <c r="D25">
        <f t="shared" si="0"/>
        <v>191081662439.60483</v>
      </c>
    </row>
    <row r="26" spans="1:4" x14ac:dyDescent="0.3">
      <c r="A26" t="s">
        <v>30</v>
      </c>
      <c r="B26" s="64">
        <v>2768.4993869159707</v>
      </c>
      <c r="C26">
        <f>'Cost Data'!$C$15</f>
        <v>100</v>
      </c>
      <c r="D26">
        <f t="shared" si="0"/>
        <v>276849938691.59711</v>
      </c>
    </row>
    <row r="27" spans="1:4" x14ac:dyDescent="0.3">
      <c r="A27" t="s">
        <v>31</v>
      </c>
      <c r="B27" s="64">
        <v>1554.0894076606064</v>
      </c>
      <c r="C27">
        <f>'Cost Data'!$C$15</f>
        <v>100</v>
      </c>
      <c r="D27">
        <f t="shared" si="0"/>
        <v>155408940766.06064</v>
      </c>
    </row>
    <row r="28" spans="1:4" x14ac:dyDescent="0.3">
      <c r="A28" t="s">
        <v>32</v>
      </c>
      <c r="B28" s="64">
        <v>820.61741140248319</v>
      </c>
      <c r="C28">
        <f>'Cost Data'!$C$15</f>
        <v>100</v>
      </c>
      <c r="D28">
        <f t="shared" si="0"/>
        <v>82061741140.248322</v>
      </c>
    </row>
    <row r="29" spans="1:4" x14ac:dyDescent="0.3">
      <c r="A29" t="s">
        <v>33</v>
      </c>
      <c r="B29" s="64">
        <v>1683.3827824671328</v>
      </c>
      <c r="C29">
        <f>'Cost Data'!$C$15</f>
        <v>100</v>
      </c>
      <c r="D29">
        <f t="shared" si="0"/>
        <v>168338278246.71329</v>
      </c>
    </row>
    <row r="30" spans="1:4" x14ac:dyDescent="0.3">
      <c r="A30" t="s">
        <v>34</v>
      </c>
      <c r="B30" s="64">
        <v>250.07057047698862</v>
      </c>
      <c r="C30">
        <f>'Cost Data'!$C$15</f>
        <v>100</v>
      </c>
      <c r="D30">
        <f t="shared" si="0"/>
        <v>25007057047.69886</v>
      </c>
    </row>
    <row r="31" spans="1:4" x14ac:dyDescent="0.3">
      <c r="A31" t="s">
        <v>35</v>
      </c>
      <c r="B31" s="64">
        <v>534.33600377720313</v>
      </c>
      <c r="C31">
        <f>'Cost Data'!$C$15</f>
        <v>100</v>
      </c>
      <c r="D31">
        <f t="shared" si="0"/>
        <v>53433600377.720314</v>
      </c>
    </row>
    <row r="32" spans="1:4" x14ac:dyDescent="0.3">
      <c r="A32" t="s">
        <v>36</v>
      </c>
      <c r="B32" s="64">
        <v>714.30722672943318</v>
      </c>
      <c r="C32">
        <f>'Cost Data'!$C$15</f>
        <v>100</v>
      </c>
      <c r="D32">
        <f t="shared" si="0"/>
        <v>71430722672.943314</v>
      </c>
    </row>
    <row r="33" spans="1:4" x14ac:dyDescent="0.3">
      <c r="A33" t="s">
        <v>37</v>
      </c>
      <c r="B33" s="64">
        <v>375.52688252528526</v>
      </c>
      <c r="C33">
        <f>'Cost Data'!$C$15</f>
        <v>100</v>
      </c>
      <c r="D33">
        <f t="shared" si="0"/>
        <v>37552688252.528526</v>
      </c>
    </row>
    <row r="34" spans="1:4" x14ac:dyDescent="0.3">
      <c r="A34" t="s">
        <v>38</v>
      </c>
      <c r="B34" s="64">
        <v>2466.2678413295171</v>
      </c>
      <c r="C34">
        <f>'Cost Data'!$C$15</f>
        <v>100</v>
      </c>
      <c r="D34">
        <f t="shared" si="0"/>
        <v>246626784132.95169</v>
      </c>
    </row>
    <row r="35" spans="1:4" x14ac:dyDescent="0.3">
      <c r="A35" t="s">
        <v>39</v>
      </c>
      <c r="B35" s="64">
        <v>493.27158900076279</v>
      </c>
      <c r="C35">
        <f>'Cost Data'!$C$15</f>
        <v>100</v>
      </c>
      <c r="D35">
        <f t="shared" si="0"/>
        <v>49327158900.076279</v>
      </c>
    </row>
    <row r="36" spans="1:4" x14ac:dyDescent="0.3">
      <c r="A36" t="s">
        <v>40</v>
      </c>
      <c r="B36" s="64">
        <v>5410.1378910571293</v>
      </c>
      <c r="C36">
        <f>'Cost Data'!$C$15</f>
        <v>100</v>
      </c>
      <c r="D36">
        <f t="shared" si="0"/>
        <v>541013789105.71289</v>
      </c>
    </row>
    <row r="37" spans="1:4" x14ac:dyDescent="0.3">
      <c r="A37" t="s">
        <v>41</v>
      </c>
      <c r="B37" s="64">
        <v>2853.1370404405957</v>
      </c>
      <c r="C37">
        <f>'Cost Data'!$C$15</f>
        <v>100</v>
      </c>
      <c r="D37">
        <f t="shared" si="0"/>
        <v>285313704044.05957</v>
      </c>
    </row>
    <row r="38" spans="1:4" x14ac:dyDescent="0.3">
      <c r="A38" t="s">
        <v>42</v>
      </c>
      <c r="B38" s="64">
        <v>210.5132655198579</v>
      </c>
      <c r="C38">
        <f>'Cost Data'!$C$15</f>
        <v>100</v>
      </c>
      <c r="D38">
        <f t="shared" si="0"/>
        <v>21051326551.985786</v>
      </c>
    </row>
    <row r="39" spans="1:4" x14ac:dyDescent="0.3">
      <c r="A39" t="s">
        <v>43</v>
      </c>
      <c r="B39" s="64">
        <v>3237.543837696679</v>
      </c>
      <c r="C39">
        <f>'Cost Data'!$C$15</f>
        <v>100</v>
      </c>
      <c r="D39">
        <f t="shared" si="0"/>
        <v>323754383769.66791</v>
      </c>
    </row>
    <row r="40" spans="1:4" x14ac:dyDescent="0.3">
      <c r="A40" t="s">
        <v>44</v>
      </c>
      <c r="B40" s="64">
        <v>1092.0872970669757</v>
      </c>
      <c r="C40">
        <f>'Cost Data'!$C$15</f>
        <v>100</v>
      </c>
      <c r="D40">
        <f t="shared" si="0"/>
        <v>109208729706.69756</v>
      </c>
    </row>
    <row r="41" spans="1:4" x14ac:dyDescent="0.3">
      <c r="A41" t="s">
        <v>45</v>
      </c>
      <c r="B41" s="64">
        <v>986.50951526664414</v>
      </c>
      <c r="C41">
        <f>'Cost Data'!$C$15</f>
        <v>100</v>
      </c>
      <c r="D41">
        <f t="shared" si="0"/>
        <v>98650951526.664413</v>
      </c>
    </row>
    <row r="42" spans="1:4" x14ac:dyDescent="0.3">
      <c r="A42" t="s">
        <v>46</v>
      </c>
      <c r="B42" s="64">
        <v>3545.5541683666429</v>
      </c>
      <c r="C42">
        <f>'Cost Data'!$C$15</f>
        <v>100</v>
      </c>
      <c r="D42">
        <f t="shared" si="0"/>
        <v>354555416836.66431</v>
      </c>
    </row>
    <row r="43" spans="1:4" x14ac:dyDescent="0.3">
      <c r="A43" t="s">
        <v>47</v>
      </c>
      <c r="B43" s="64">
        <v>292.71102075937625</v>
      </c>
      <c r="C43">
        <f>'Cost Data'!$C$15</f>
        <v>100</v>
      </c>
      <c r="D43">
        <f t="shared" si="0"/>
        <v>29271102075.937622</v>
      </c>
    </row>
    <row r="44" spans="1:4" x14ac:dyDescent="0.3">
      <c r="A44" t="s">
        <v>48</v>
      </c>
      <c r="B44" s="64">
        <v>1396.98015354993</v>
      </c>
      <c r="C44">
        <f>'Cost Data'!$C$15</f>
        <v>100</v>
      </c>
      <c r="D44">
        <f t="shared" si="0"/>
        <v>139698015354.99301</v>
      </c>
    </row>
    <row r="45" spans="1:4" x14ac:dyDescent="0.3">
      <c r="A45" t="s">
        <v>49</v>
      </c>
      <c r="B45" s="64">
        <v>244.34652121549769</v>
      </c>
      <c r="C45">
        <f>'Cost Data'!$C$15</f>
        <v>100</v>
      </c>
      <c r="D45">
        <f t="shared" si="0"/>
        <v>24434652121.54977</v>
      </c>
    </row>
    <row r="46" spans="1:4" x14ac:dyDescent="0.3">
      <c r="A46" t="s">
        <v>50</v>
      </c>
      <c r="B46" s="64">
        <v>1860.2150594063764</v>
      </c>
      <c r="C46">
        <f>'Cost Data'!$C$15</f>
        <v>100</v>
      </c>
      <c r="D46">
        <f t="shared" si="0"/>
        <v>186021505940.63763</v>
      </c>
    </row>
    <row r="47" spans="1:4" x14ac:dyDescent="0.3">
      <c r="A47" t="s">
        <v>51</v>
      </c>
      <c r="B47" s="64">
        <v>7886.4882476905659</v>
      </c>
      <c r="C47">
        <f>'Cost Data'!$C$15</f>
        <v>100</v>
      </c>
      <c r="D47">
        <f t="shared" si="0"/>
        <v>788648824769.05664</v>
      </c>
    </row>
    <row r="48" spans="1:4" x14ac:dyDescent="0.3">
      <c r="A48" t="s">
        <v>53</v>
      </c>
      <c r="B48" s="64">
        <v>744.13594089047979</v>
      </c>
      <c r="C48">
        <f>'Cost Data'!$C$15</f>
        <v>100</v>
      </c>
      <c r="D48">
        <f t="shared" si="0"/>
        <v>74413594089.047974</v>
      </c>
    </row>
    <row r="49" spans="1:4" x14ac:dyDescent="0.3">
      <c r="A49" t="s">
        <v>54</v>
      </c>
      <c r="B49" s="64">
        <v>173.38694673827248</v>
      </c>
      <c r="C49">
        <f>'Cost Data'!$C$15</f>
        <v>100</v>
      </c>
      <c r="D49">
        <f t="shared" si="0"/>
        <v>17338694673.827248</v>
      </c>
    </row>
    <row r="50" spans="1:4" x14ac:dyDescent="0.3">
      <c r="A50" t="s">
        <v>55</v>
      </c>
      <c r="B50" s="64">
        <v>2340.4287302795419</v>
      </c>
      <c r="C50">
        <f>'Cost Data'!$C$15</f>
        <v>100</v>
      </c>
      <c r="D50">
        <f t="shared" si="0"/>
        <v>234042873027.95419</v>
      </c>
    </row>
    <row r="51" spans="1:4" x14ac:dyDescent="0.3">
      <c r="A51" t="s">
        <v>56</v>
      </c>
      <c r="B51" s="64">
        <v>1773.9063077470796</v>
      </c>
      <c r="C51">
        <f>'Cost Data'!$C$15</f>
        <v>100</v>
      </c>
      <c r="D51">
        <f t="shared" si="0"/>
        <v>177390630774.70795</v>
      </c>
    </row>
    <row r="52" spans="1:4" x14ac:dyDescent="0.3">
      <c r="A52" t="s">
        <v>57</v>
      </c>
      <c r="B52" s="64">
        <v>496.19363651721869</v>
      </c>
      <c r="C52">
        <f>'Cost Data'!$C$15</f>
        <v>100</v>
      </c>
      <c r="D52">
        <f t="shared" si="0"/>
        <v>49619363651.72187</v>
      </c>
    </row>
    <row r="53" spans="1:4" x14ac:dyDescent="0.3">
      <c r="A53" t="s">
        <v>58</v>
      </c>
      <c r="B53" s="64">
        <v>1610.1436880760095</v>
      </c>
      <c r="C53">
        <f>'Cost Data'!$C$15</f>
        <v>100</v>
      </c>
      <c r="D53">
        <f t="shared" si="0"/>
        <v>161014368807.60095</v>
      </c>
    </row>
    <row r="54" spans="1:4" x14ac:dyDescent="0.3">
      <c r="A54" t="s">
        <v>59</v>
      </c>
      <c r="B54" s="64">
        <v>136.0014507845336</v>
      </c>
      <c r="C54">
        <f>'Cost Data'!$C$15</f>
        <v>100</v>
      </c>
      <c r="D54">
        <f t="shared" si="0"/>
        <v>13600145078.45336</v>
      </c>
    </row>
    <row r="55" spans="1:4" x14ac:dyDescent="0.3">
      <c r="A55" t="s">
        <v>52</v>
      </c>
      <c r="B55" s="64">
        <v>86908.71884541426</v>
      </c>
      <c r="C55">
        <f>'Cost Data'!$C$15</f>
        <v>100</v>
      </c>
      <c r="D55">
        <f t="shared" si="0"/>
        <v>8690871884541.4258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62EC-ADD2-4F44-8254-2531495112B6}">
  <dimension ref="A1:Q56"/>
  <sheetViews>
    <sheetView topLeftCell="B1" zoomScaleNormal="100" workbookViewId="0">
      <selection activeCell="Q5" sqref="Q5"/>
    </sheetView>
  </sheetViews>
  <sheetFormatPr defaultRowHeight="25.8" customHeight="1" x14ac:dyDescent="0.3"/>
  <cols>
    <col min="1" max="1" width="17.88671875" style="87" customWidth="1"/>
    <col min="2" max="2" width="12.6640625" style="87" customWidth="1"/>
    <col min="3" max="3" width="11.5546875" style="87" customWidth="1"/>
    <col min="4" max="4" width="12.6640625" style="87" customWidth="1"/>
    <col min="5" max="5" width="11.5546875" style="87" customWidth="1"/>
    <col min="6" max="6" width="12.6640625" style="87" customWidth="1"/>
    <col min="7" max="7" width="11.5546875" style="87" customWidth="1"/>
    <col min="8" max="9" width="12.6640625" style="87" customWidth="1"/>
    <col min="10" max="12" width="11.5546875" style="87" customWidth="1"/>
    <col min="13" max="13" width="10.44140625" style="87" customWidth="1"/>
    <col min="14" max="14" width="12.6640625" style="87" customWidth="1"/>
    <col min="15" max="15" width="11.5546875" style="87" customWidth="1"/>
    <col min="16" max="16" width="12.6640625" style="87" customWidth="1"/>
    <col min="17" max="17" width="12" style="87" bestFit="1" customWidth="1"/>
    <col min="18" max="16384" width="8.88671875" style="87"/>
  </cols>
  <sheetData>
    <row r="1" spans="1:17" ht="25.8" customHeight="1" x14ac:dyDescent="0.3">
      <c r="A1" s="80" t="s">
        <v>302</v>
      </c>
      <c r="B1" s="180" t="s">
        <v>303</v>
      </c>
      <c r="C1" s="181"/>
      <c r="D1" s="182"/>
      <c r="E1" s="81" t="s">
        <v>304</v>
      </c>
      <c r="F1" s="82"/>
      <c r="G1" s="83"/>
      <c r="H1" s="81" t="s">
        <v>305</v>
      </c>
      <c r="I1" s="82"/>
      <c r="J1" s="83"/>
      <c r="K1" s="84" t="s">
        <v>306</v>
      </c>
      <c r="L1" s="85"/>
      <c r="M1" s="86"/>
      <c r="N1" s="84" t="s">
        <v>307</v>
      </c>
      <c r="O1" s="85"/>
      <c r="P1" s="86"/>
    </row>
    <row r="2" spans="1:17" ht="25.8" customHeight="1" x14ac:dyDescent="0.3">
      <c r="A2" s="88" t="s">
        <v>537</v>
      </c>
      <c r="B2" s="89" t="s">
        <v>308</v>
      </c>
      <c r="C2" s="90"/>
      <c r="D2" s="91" t="s">
        <v>309</v>
      </c>
      <c r="E2" s="90"/>
      <c r="F2" s="90"/>
      <c r="G2" s="91" t="s">
        <v>309</v>
      </c>
      <c r="H2" s="90"/>
      <c r="I2" s="90"/>
      <c r="J2" s="91" t="s">
        <v>309</v>
      </c>
      <c r="K2" s="90"/>
      <c r="L2" s="90"/>
      <c r="M2" s="91" t="s">
        <v>309</v>
      </c>
      <c r="N2" s="90"/>
      <c r="O2" s="90"/>
      <c r="P2" s="91" t="s">
        <v>309</v>
      </c>
    </row>
    <row r="3" spans="1:17" ht="25.8" customHeight="1" x14ac:dyDescent="0.3">
      <c r="A3" s="183" t="s">
        <v>536</v>
      </c>
      <c r="B3" s="92" t="s">
        <v>310</v>
      </c>
      <c r="C3" s="93" t="s">
        <v>311</v>
      </c>
      <c r="D3" s="88"/>
      <c r="E3" s="92" t="s">
        <v>308</v>
      </c>
      <c r="F3" s="93" t="s">
        <v>311</v>
      </c>
      <c r="G3" s="88"/>
      <c r="H3" s="92" t="s">
        <v>308</v>
      </c>
      <c r="I3" s="93" t="s">
        <v>311</v>
      </c>
      <c r="J3" s="88"/>
      <c r="K3" s="92" t="s">
        <v>308</v>
      </c>
      <c r="L3" s="92" t="s">
        <v>311</v>
      </c>
      <c r="M3" s="88"/>
      <c r="N3" s="92" t="s">
        <v>308</v>
      </c>
      <c r="O3" s="92" t="s">
        <v>311</v>
      </c>
      <c r="P3" s="88"/>
    </row>
    <row r="4" spans="1:17" ht="43.8" customHeight="1" x14ac:dyDescent="0.3">
      <c r="A4" s="184"/>
      <c r="B4" s="93" t="s">
        <v>312</v>
      </c>
      <c r="C4" s="92" t="s">
        <v>313</v>
      </c>
      <c r="D4" s="88"/>
      <c r="E4" s="92" t="s">
        <v>310</v>
      </c>
      <c r="F4" s="93" t="s">
        <v>313</v>
      </c>
      <c r="G4" s="88"/>
      <c r="H4" s="92" t="s">
        <v>310</v>
      </c>
      <c r="I4" s="93" t="s">
        <v>313</v>
      </c>
      <c r="J4" s="88"/>
      <c r="K4" s="92" t="s">
        <v>310</v>
      </c>
      <c r="L4" s="92" t="s">
        <v>313</v>
      </c>
      <c r="M4" s="88"/>
      <c r="N4" s="92" t="s">
        <v>310</v>
      </c>
      <c r="O4" s="92" t="s">
        <v>313</v>
      </c>
      <c r="P4" s="88"/>
    </row>
    <row r="5" spans="1:17" ht="25.8" customHeight="1" x14ac:dyDescent="0.3">
      <c r="A5" s="94" t="s">
        <v>9</v>
      </c>
      <c r="B5" s="79">
        <v>2239705</v>
      </c>
      <c r="C5" s="79">
        <v>44738</v>
      </c>
      <c r="D5" s="79">
        <v>2284443</v>
      </c>
      <c r="E5" s="79">
        <v>6107</v>
      </c>
      <c r="F5" s="95">
        <v>131</v>
      </c>
      <c r="G5" s="79">
        <v>6238</v>
      </c>
      <c r="H5" s="79">
        <v>3002931</v>
      </c>
      <c r="I5" s="79">
        <v>64986</v>
      </c>
      <c r="J5" s="79">
        <v>3067917</v>
      </c>
      <c r="K5" s="79">
        <v>108767</v>
      </c>
      <c r="L5" s="95">
        <v>936</v>
      </c>
      <c r="M5" s="79">
        <v>109703</v>
      </c>
      <c r="N5" s="79">
        <v>5357510</v>
      </c>
      <c r="O5" s="79">
        <v>110791</v>
      </c>
      <c r="P5" s="79">
        <v>5468301</v>
      </c>
      <c r="Q5" s="87">
        <f>(D5*'Cost Data'!$C$9)+(G5*'Cost Data'!$C$10)+(J5*'Cost Data'!$C$11)+(M5*'Cost Data'!$C$12)</f>
        <v>92324574000</v>
      </c>
    </row>
    <row r="6" spans="1:17" ht="25.8" customHeight="1" x14ac:dyDescent="0.3">
      <c r="A6" s="93" t="s">
        <v>314</v>
      </c>
      <c r="B6" s="77">
        <v>178860</v>
      </c>
      <c r="C6" s="77">
        <v>4399</v>
      </c>
      <c r="D6" s="77">
        <v>183259</v>
      </c>
      <c r="E6" s="77">
        <v>7529</v>
      </c>
      <c r="F6" s="96">
        <v>590</v>
      </c>
      <c r="G6" s="77">
        <v>8119</v>
      </c>
      <c r="H6" s="77">
        <v>553730</v>
      </c>
      <c r="I6" s="77">
        <v>17557</v>
      </c>
      <c r="J6" s="77">
        <v>571287</v>
      </c>
      <c r="K6" s="77">
        <v>31942</v>
      </c>
      <c r="L6" s="96">
        <v>7</v>
      </c>
      <c r="M6" s="77">
        <v>31949</v>
      </c>
      <c r="N6" s="77">
        <v>772061</v>
      </c>
      <c r="O6" s="77">
        <v>22553</v>
      </c>
      <c r="P6" s="77">
        <v>794614</v>
      </c>
      <c r="Q6" s="87">
        <f>(D6*'Cost Data'!$C$9)+(G6*'Cost Data'!$C$10)+(J6*'Cost Data'!$C$11)+(M6*'Cost Data'!$C$12)</f>
        <v>15500666000</v>
      </c>
    </row>
    <row r="7" spans="1:17" ht="25.8" customHeight="1" x14ac:dyDescent="0.3">
      <c r="A7" s="93" t="s">
        <v>11</v>
      </c>
      <c r="B7" s="77">
        <v>2357093</v>
      </c>
      <c r="C7" s="77">
        <v>20869</v>
      </c>
      <c r="D7" s="77">
        <v>2377962</v>
      </c>
      <c r="E7" s="77">
        <v>1475</v>
      </c>
      <c r="F7" s="77">
        <v>7541</v>
      </c>
      <c r="G7" s="77">
        <v>9016</v>
      </c>
      <c r="H7" s="77">
        <v>3190517</v>
      </c>
      <c r="I7" s="77">
        <v>42813</v>
      </c>
      <c r="J7" s="77">
        <v>3233330</v>
      </c>
      <c r="K7" s="77">
        <v>166582</v>
      </c>
      <c r="L7" s="96">
        <v>1</v>
      </c>
      <c r="M7" s="77">
        <v>166583</v>
      </c>
      <c r="N7" s="77">
        <v>5715667</v>
      </c>
      <c r="O7" s="77">
        <v>71224</v>
      </c>
      <c r="P7" s="77">
        <v>5786891</v>
      </c>
      <c r="Q7" s="87">
        <f>(D7*'Cost Data'!$C$9)+(G7*'Cost Data'!$C$10)+(J7*'Cost Data'!$C$11)+(M7*'Cost Data'!$C$12)</f>
        <v>97245294000</v>
      </c>
    </row>
    <row r="8" spans="1:17" ht="25.8" customHeight="1" x14ac:dyDescent="0.3">
      <c r="A8" s="97" t="s">
        <v>12</v>
      </c>
      <c r="B8" s="78">
        <v>929740</v>
      </c>
      <c r="C8" s="78">
        <v>12864</v>
      </c>
      <c r="D8" s="78">
        <v>942604</v>
      </c>
      <c r="E8" s="78">
        <v>11209</v>
      </c>
      <c r="F8" s="98">
        <v>722</v>
      </c>
      <c r="G8" s="78">
        <v>11931</v>
      </c>
      <c r="H8" s="78">
        <v>1735726</v>
      </c>
      <c r="I8" s="78">
        <v>27039</v>
      </c>
      <c r="J8" s="78">
        <v>1762765</v>
      </c>
      <c r="K8" s="78">
        <v>90838</v>
      </c>
      <c r="L8" s="99" t="s">
        <v>315</v>
      </c>
      <c r="M8" s="78">
        <v>90838</v>
      </c>
      <c r="N8" s="78">
        <v>2767513</v>
      </c>
      <c r="O8" s="78">
        <v>40625</v>
      </c>
      <c r="P8" s="78">
        <v>2808138</v>
      </c>
      <c r="Q8" s="87">
        <f>(D8*'Cost Data'!$C$9)+(G8*'Cost Data'!$C$10)+(J8*'Cost Data'!$C$11)+(M8*'Cost Data'!$C$12)</f>
        <v>50410660000</v>
      </c>
    </row>
    <row r="9" spans="1:17" ht="25.8" customHeight="1" x14ac:dyDescent="0.3">
      <c r="A9" s="94" t="s">
        <v>13</v>
      </c>
      <c r="B9" s="79">
        <v>14526096</v>
      </c>
      <c r="C9" s="79">
        <v>242296</v>
      </c>
      <c r="D9" s="79">
        <v>14768392</v>
      </c>
      <c r="E9" s="79">
        <v>34994</v>
      </c>
      <c r="F9" s="79">
        <v>63628</v>
      </c>
      <c r="G9" s="79">
        <v>98622</v>
      </c>
      <c r="H9" s="79">
        <v>14223347</v>
      </c>
      <c r="I9" s="79">
        <v>288566</v>
      </c>
      <c r="J9" s="79">
        <v>14511913</v>
      </c>
      <c r="K9" s="79">
        <v>827634</v>
      </c>
      <c r="L9" s="79">
        <v>14472</v>
      </c>
      <c r="M9" s="79">
        <v>842106</v>
      </c>
      <c r="N9" s="79">
        <v>29612071</v>
      </c>
      <c r="O9" s="79">
        <v>608962</v>
      </c>
      <c r="P9" s="79">
        <v>30221033</v>
      </c>
      <c r="Q9" s="87">
        <f>(D9*'Cost Data'!$C$9)+(G9*'Cost Data'!$C$10)+(J9*'Cost Data'!$C$11)+(M9*'Cost Data'!$C$12)</f>
        <v>471273164000</v>
      </c>
    </row>
    <row r="10" spans="1:17" ht="25.8" customHeight="1" x14ac:dyDescent="0.3">
      <c r="A10" s="93" t="s">
        <v>14</v>
      </c>
      <c r="B10" s="77">
        <v>1790622</v>
      </c>
      <c r="C10" s="77">
        <v>17155</v>
      </c>
      <c r="D10" s="77">
        <v>1807777</v>
      </c>
      <c r="E10" s="77">
        <v>5935</v>
      </c>
      <c r="F10" s="77">
        <v>6836</v>
      </c>
      <c r="G10" s="77">
        <v>12771</v>
      </c>
      <c r="H10" s="77">
        <v>3065910</v>
      </c>
      <c r="I10" s="77">
        <v>39291</v>
      </c>
      <c r="J10" s="77">
        <v>3105201</v>
      </c>
      <c r="K10" s="77">
        <v>190531</v>
      </c>
      <c r="L10" s="96">
        <v>61</v>
      </c>
      <c r="M10" s="77">
        <v>190592</v>
      </c>
      <c r="N10" s="77">
        <v>5052998</v>
      </c>
      <c r="O10" s="77">
        <v>63343</v>
      </c>
      <c r="P10" s="77">
        <v>5116341</v>
      </c>
      <c r="Q10" s="87">
        <f>(D10*'Cost Data'!$C$9)+(G10*'Cost Data'!$C$10)+(J10*'Cost Data'!$C$11)+(M10*'Cost Data'!$C$12)</f>
        <v>89776896000</v>
      </c>
    </row>
    <row r="11" spans="1:17" ht="25.8" customHeight="1" x14ac:dyDescent="0.3">
      <c r="A11" s="93" t="s">
        <v>316</v>
      </c>
      <c r="B11" s="77">
        <v>1351171</v>
      </c>
      <c r="C11" s="77">
        <v>1210</v>
      </c>
      <c r="D11" s="77">
        <v>1352381</v>
      </c>
      <c r="E11" s="77">
        <v>12551</v>
      </c>
      <c r="F11" s="96">
        <v>36</v>
      </c>
      <c r="G11" s="77">
        <v>12587</v>
      </c>
      <c r="H11" s="77">
        <v>1385215</v>
      </c>
      <c r="I11" s="77">
        <v>5128</v>
      </c>
      <c r="J11" s="77">
        <v>1390343</v>
      </c>
      <c r="K11" s="77">
        <v>86511</v>
      </c>
      <c r="L11" s="96">
        <v>20</v>
      </c>
      <c r="M11" s="77">
        <v>86531</v>
      </c>
      <c r="N11" s="77">
        <v>2835448</v>
      </c>
      <c r="O11" s="77">
        <v>6394</v>
      </c>
      <c r="P11" s="77">
        <v>2841842</v>
      </c>
      <c r="Q11" s="87">
        <f>(D11*'Cost Data'!$C$9)+(G11*'Cost Data'!$C$10)+(J11*'Cost Data'!$C$11)+(M11*'Cost Data'!$C$12)</f>
        <v>44763126000</v>
      </c>
    </row>
    <row r="12" spans="1:17" ht="25.8" customHeight="1" x14ac:dyDescent="0.3">
      <c r="A12" s="97" t="s">
        <v>16</v>
      </c>
      <c r="B12" s="78">
        <v>445444</v>
      </c>
      <c r="C12" s="78">
        <v>1563</v>
      </c>
      <c r="D12" s="78">
        <v>447007</v>
      </c>
      <c r="E12" s="78">
        <v>3863</v>
      </c>
      <c r="F12" s="98">
        <v>425</v>
      </c>
      <c r="G12" s="78">
        <v>4288</v>
      </c>
      <c r="H12" s="78">
        <v>521373</v>
      </c>
      <c r="I12" s="78">
        <v>3014</v>
      </c>
      <c r="J12" s="78">
        <v>524387</v>
      </c>
      <c r="K12" s="78">
        <v>28158</v>
      </c>
      <c r="L12" s="99" t="s">
        <v>315</v>
      </c>
      <c r="M12" s="78">
        <v>28158</v>
      </c>
      <c r="N12" s="78">
        <v>998838</v>
      </c>
      <c r="O12" s="78">
        <v>5002</v>
      </c>
      <c r="P12" s="78">
        <v>1003840</v>
      </c>
      <c r="Q12" s="87">
        <f>(D12*'Cost Data'!$C$9)+(G12*'Cost Data'!$C$10)+(J12*'Cost Data'!$C$11)+(M12*'Cost Data'!$C$12)</f>
        <v>16354876000</v>
      </c>
    </row>
    <row r="13" spans="1:17" ht="25.8" customHeight="1" x14ac:dyDescent="0.3">
      <c r="A13" s="93" t="s">
        <v>17</v>
      </c>
      <c r="B13" s="77">
        <v>7745321</v>
      </c>
      <c r="C13" s="77">
        <v>109929</v>
      </c>
      <c r="D13" s="77">
        <v>7855250</v>
      </c>
      <c r="E13" s="77">
        <v>25356</v>
      </c>
      <c r="F13" s="77">
        <v>34452</v>
      </c>
      <c r="G13" s="77">
        <v>59808</v>
      </c>
      <c r="H13" s="77">
        <v>7968659</v>
      </c>
      <c r="I13" s="77">
        <v>133952</v>
      </c>
      <c r="J13" s="77">
        <v>8102611</v>
      </c>
      <c r="K13" s="77">
        <v>580002</v>
      </c>
      <c r="L13" s="77">
        <v>2646</v>
      </c>
      <c r="M13" s="77">
        <v>582648</v>
      </c>
      <c r="N13" s="77">
        <v>16319338</v>
      </c>
      <c r="O13" s="77">
        <v>280979</v>
      </c>
      <c r="P13" s="77">
        <v>16600317</v>
      </c>
      <c r="Q13" s="87">
        <f>(D13*'Cost Data'!$C$9)+(G13*'Cost Data'!$C$10)+(J13*'Cost Data'!$C$11)+(M13*'Cost Data'!$C$12)</f>
        <v>260383816000</v>
      </c>
    </row>
    <row r="14" spans="1:17" ht="25.8" customHeight="1" x14ac:dyDescent="0.3">
      <c r="A14" s="93" t="s">
        <v>18</v>
      </c>
      <c r="B14" s="77">
        <v>3485821</v>
      </c>
      <c r="C14" s="77">
        <v>52359</v>
      </c>
      <c r="D14" s="77">
        <v>3538180</v>
      </c>
      <c r="E14" s="77">
        <v>12101</v>
      </c>
      <c r="F14" s="77">
        <v>25386</v>
      </c>
      <c r="G14" s="77">
        <v>37487</v>
      </c>
      <c r="H14" s="77">
        <v>4385246</v>
      </c>
      <c r="I14" s="77">
        <v>76475</v>
      </c>
      <c r="J14" s="77">
        <v>4461721</v>
      </c>
      <c r="K14" s="77">
        <v>201508</v>
      </c>
      <c r="L14" s="96">
        <v>883</v>
      </c>
      <c r="M14" s="77">
        <v>202391</v>
      </c>
      <c r="N14" s="77">
        <v>8084676</v>
      </c>
      <c r="O14" s="77">
        <v>155103</v>
      </c>
      <c r="P14" s="77">
        <v>8239779</v>
      </c>
      <c r="Q14" s="87">
        <f>(D14*'Cost Data'!$C$9)+(G14*'Cost Data'!$C$10)+(J14*'Cost Data'!$C$11)+(M14*'Cost Data'!$C$12)</f>
        <v>136991110000</v>
      </c>
    </row>
    <row r="15" spans="1:17" ht="25.8" customHeight="1" x14ac:dyDescent="0.3">
      <c r="A15" s="97" t="s">
        <v>19</v>
      </c>
      <c r="B15" s="78">
        <v>508549</v>
      </c>
      <c r="C15" s="78">
        <v>7995</v>
      </c>
      <c r="D15" s="78">
        <v>516544</v>
      </c>
      <c r="E15" s="78">
        <v>1774</v>
      </c>
      <c r="F15" s="78">
        <v>1295</v>
      </c>
      <c r="G15" s="78">
        <v>3069</v>
      </c>
      <c r="H15" s="78">
        <v>665951</v>
      </c>
      <c r="I15" s="78">
        <v>15018</v>
      </c>
      <c r="J15" s="78">
        <v>680969</v>
      </c>
      <c r="K15" s="78">
        <v>30768</v>
      </c>
      <c r="L15" s="98">
        <v>378</v>
      </c>
      <c r="M15" s="78">
        <v>31146</v>
      </c>
      <c r="N15" s="78">
        <v>1207042</v>
      </c>
      <c r="O15" s="78">
        <v>24686</v>
      </c>
      <c r="P15" s="78">
        <v>1231728</v>
      </c>
      <c r="Q15" s="87">
        <f>(D15*'Cost Data'!$C$9)+(G15*'Cost Data'!$C$10)+(J15*'Cost Data'!$C$11)+(M15*'Cost Data'!$C$12)</f>
        <v>20636108000</v>
      </c>
    </row>
    <row r="16" spans="1:17" ht="25.8" customHeight="1" x14ac:dyDescent="0.3">
      <c r="A16" s="94" t="s">
        <v>20</v>
      </c>
      <c r="B16" s="79">
        <v>605599</v>
      </c>
      <c r="C16" s="79">
        <v>2303</v>
      </c>
      <c r="D16" s="79">
        <v>607902</v>
      </c>
      <c r="E16" s="79">
        <v>3184</v>
      </c>
      <c r="F16" s="95">
        <v>693</v>
      </c>
      <c r="G16" s="79">
        <v>3877</v>
      </c>
      <c r="H16" s="79">
        <v>1154988</v>
      </c>
      <c r="I16" s="79">
        <v>9539</v>
      </c>
      <c r="J16" s="79">
        <v>1164527</v>
      </c>
      <c r="K16" s="79">
        <v>65894</v>
      </c>
      <c r="L16" s="95">
        <v>45</v>
      </c>
      <c r="M16" s="79">
        <v>65939</v>
      </c>
      <c r="N16" s="79">
        <v>1829665</v>
      </c>
      <c r="O16" s="79">
        <v>12580</v>
      </c>
      <c r="P16" s="79">
        <v>1842245</v>
      </c>
      <c r="Q16" s="87">
        <f>(D16*'Cost Data'!$C$9)+(G16*'Cost Data'!$C$10)+(J16*'Cost Data'!$C$11)+(M16*'Cost Data'!$C$12)</f>
        <v>33067806000</v>
      </c>
    </row>
    <row r="17" spans="1:17" ht="25.8" customHeight="1" x14ac:dyDescent="0.3">
      <c r="A17" s="93" t="s">
        <v>21</v>
      </c>
      <c r="B17" s="77">
        <v>4484546</v>
      </c>
      <c r="C17" s="77">
        <v>40163</v>
      </c>
      <c r="D17" s="77">
        <v>4524709</v>
      </c>
      <c r="E17" s="77">
        <v>34751</v>
      </c>
      <c r="F17" s="96">
        <v>185</v>
      </c>
      <c r="G17" s="77">
        <v>34936</v>
      </c>
      <c r="H17" s="77">
        <v>5342899</v>
      </c>
      <c r="I17" s="77">
        <v>59831</v>
      </c>
      <c r="J17" s="77">
        <v>5402730</v>
      </c>
      <c r="K17" s="77">
        <v>314807</v>
      </c>
      <c r="L17" s="92" t="s">
        <v>315</v>
      </c>
      <c r="M17" s="77">
        <v>314807</v>
      </c>
      <c r="N17" s="77">
        <v>10177003</v>
      </c>
      <c r="O17" s="77">
        <v>100179</v>
      </c>
      <c r="P17" s="77">
        <v>10277182</v>
      </c>
      <c r="Q17" s="87">
        <f>(D17*'Cost Data'!$C$9)+(G17*'Cost Data'!$C$10)+(J17*'Cost Data'!$C$11)+(M17*'Cost Data'!$C$12)</f>
        <v>167610758000</v>
      </c>
    </row>
    <row r="18" spans="1:17" ht="25.8" customHeight="1" x14ac:dyDescent="0.3">
      <c r="A18" s="93" t="s">
        <v>317</v>
      </c>
      <c r="B18" s="77">
        <v>2327229</v>
      </c>
      <c r="C18" s="77">
        <v>2943</v>
      </c>
      <c r="D18" s="77">
        <v>2330172</v>
      </c>
      <c r="E18" s="77">
        <v>7228</v>
      </c>
      <c r="F18" s="77">
        <v>13499</v>
      </c>
      <c r="G18" s="77">
        <v>20727</v>
      </c>
      <c r="H18" s="77">
        <v>3556047</v>
      </c>
      <c r="I18" s="77">
        <v>9981</v>
      </c>
      <c r="J18" s="77">
        <v>3566028</v>
      </c>
      <c r="K18" s="77">
        <v>223566</v>
      </c>
      <c r="L18" s="96">
        <v>37</v>
      </c>
      <c r="M18" s="77">
        <v>223603</v>
      </c>
      <c r="N18" s="77">
        <v>6114070</v>
      </c>
      <c r="O18" s="77">
        <v>26460</v>
      </c>
      <c r="P18" s="77">
        <v>6140530</v>
      </c>
      <c r="Q18" s="87">
        <f>(D18*'Cost Data'!$C$9)+(G18*'Cost Data'!$C$10)+(J18*'Cost Data'!$C$11)+(M18*'Cost Data'!$C$12)</f>
        <v>105336518000</v>
      </c>
    </row>
    <row r="19" spans="1:17" ht="25.8" customHeight="1" x14ac:dyDescent="0.3">
      <c r="A19" s="97" t="s">
        <v>23</v>
      </c>
      <c r="B19" s="78">
        <v>1291027</v>
      </c>
      <c r="C19" s="78">
        <v>12104</v>
      </c>
      <c r="D19" s="78">
        <v>1303131</v>
      </c>
      <c r="E19" s="78">
        <v>3835</v>
      </c>
      <c r="F19" s="78">
        <v>5339</v>
      </c>
      <c r="G19" s="78">
        <v>9174</v>
      </c>
      <c r="H19" s="78">
        <v>2148625</v>
      </c>
      <c r="I19" s="78">
        <v>22926</v>
      </c>
      <c r="J19" s="78">
        <v>2171551</v>
      </c>
      <c r="K19" s="78">
        <v>192104</v>
      </c>
      <c r="L19" s="98">
        <v>330</v>
      </c>
      <c r="M19" s="78">
        <v>192434</v>
      </c>
      <c r="N19" s="78">
        <v>3635591</v>
      </c>
      <c r="O19" s="78">
        <v>40699</v>
      </c>
      <c r="P19" s="78">
        <v>3676290</v>
      </c>
      <c r="Q19" s="87">
        <f>(D19*'Cost Data'!$C$9)+(G19*'Cost Data'!$C$10)+(J19*'Cost Data'!$C$11)+(M19*'Cost Data'!$C$12)</f>
        <v>63220708000</v>
      </c>
    </row>
    <row r="20" spans="1:17" ht="25.8" customHeight="1" x14ac:dyDescent="0.3">
      <c r="A20" s="94" t="s">
        <v>24</v>
      </c>
      <c r="B20" s="79">
        <v>976261</v>
      </c>
      <c r="C20" s="79">
        <v>4098</v>
      </c>
      <c r="D20" s="79">
        <v>980359</v>
      </c>
      <c r="E20" s="79">
        <v>3295</v>
      </c>
      <c r="F20" s="79">
        <v>2280</v>
      </c>
      <c r="G20" s="79">
        <v>5575</v>
      </c>
      <c r="H20" s="79">
        <v>1557827</v>
      </c>
      <c r="I20" s="79">
        <v>9728</v>
      </c>
      <c r="J20" s="79">
        <v>1567555</v>
      </c>
      <c r="K20" s="79">
        <v>96205</v>
      </c>
      <c r="L20" s="95">
        <v>42</v>
      </c>
      <c r="M20" s="79">
        <v>96247</v>
      </c>
      <c r="N20" s="79">
        <v>2633588</v>
      </c>
      <c r="O20" s="79">
        <v>16148</v>
      </c>
      <c r="P20" s="79">
        <v>2649736</v>
      </c>
      <c r="Q20" s="87">
        <f>(D20*'Cost Data'!$C$9)+(G20*'Cost Data'!$C$10)+(J20*'Cost Data'!$C$11)+(M20*'Cost Data'!$C$12)</f>
        <v>45835086000</v>
      </c>
    </row>
    <row r="21" spans="1:17" ht="25.8" customHeight="1" x14ac:dyDescent="0.3">
      <c r="A21" s="93" t="s">
        <v>25</v>
      </c>
      <c r="B21" s="77">
        <v>1680846</v>
      </c>
      <c r="C21" s="77">
        <v>32744</v>
      </c>
      <c r="D21" s="77">
        <v>1713590</v>
      </c>
      <c r="E21" s="77">
        <v>1358</v>
      </c>
      <c r="F21" s="77">
        <v>9201</v>
      </c>
      <c r="G21" s="77">
        <v>10559</v>
      </c>
      <c r="H21" s="77">
        <v>2344262</v>
      </c>
      <c r="I21" s="77">
        <v>49729</v>
      </c>
      <c r="J21" s="77">
        <v>2393991</v>
      </c>
      <c r="K21" s="77">
        <v>106569</v>
      </c>
      <c r="L21" s="96">
        <v>79</v>
      </c>
      <c r="M21" s="77">
        <v>106648</v>
      </c>
      <c r="N21" s="77">
        <v>4133035</v>
      </c>
      <c r="O21" s="77">
        <v>91753</v>
      </c>
      <c r="P21" s="77">
        <v>4224788</v>
      </c>
      <c r="Q21" s="87">
        <f>(D21*'Cost Data'!$C$9)+(G21*'Cost Data'!$C$10)+(J21*'Cost Data'!$C$11)+(M21*'Cost Data'!$C$12)</f>
        <v>71715688000</v>
      </c>
    </row>
    <row r="22" spans="1:17" ht="25.8" customHeight="1" x14ac:dyDescent="0.3">
      <c r="A22" s="93" t="s">
        <v>26</v>
      </c>
      <c r="B22" s="77">
        <v>1395694</v>
      </c>
      <c r="C22" s="77">
        <v>29655</v>
      </c>
      <c r="D22" s="77">
        <v>1425349</v>
      </c>
      <c r="E22" s="77">
        <v>22185</v>
      </c>
      <c r="F22" s="77">
        <v>7003</v>
      </c>
      <c r="G22" s="77">
        <v>29188</v>
      </c>
      <c r="H22" s="77">
        <v>2283366</v>
      </c>
      <c r="I22" s="77">
        <v>53460</v>
      </c>
      <c r="J22" s="77">
        <v>2336826</v>
      </c>
      <c r="K22" s="77">
        <v>113599</v>
      </c>
      <c r="L22" s="92" t="s">
        <v>315</v>
      </c>
      <c r="M22" s="77">
        <v>113599</v>
      </c>
      <c r="N22" s="77">
        <v>3814844</v>
      </c>
      <c r="O22" s="77">
        <v>90118</v>
      </c>
      <c r="P22" s="77">
        <v>3904962</v>
      </c>
      <c r="Q22" s="87">
        <f>(D22*'Cost Data'!$C$9)+(G22*'Cost Data'!$C$10)+(J22*'Cost Data'!$C$11)+(M22*'Cost Data'!$C$12)</f>
        <v>68647830000</v>
      </c>
    </row>
    <row r="23" spans="1:17" ht="25.8" customHeight="1" x14ac:dyDescent="0.3">
      <c r="A23" s="97" t="s">
        <v>27</v>
      </c>
      <c r="B23" s="78">
        <v>405063</v>
      </c>
      <c r="C23" s="78">
        <v>4166</v>
      </c>
      <c r="D23" s="78">
        <v>409229</v>
      </c>
      <c r="E23" s="78">
        <v>1328</v>
      </c>
      <c r="F23" s="78">
        <v>3021</v>
      </c>
      <c r="G23" s="78">
        <v>4349</v>
      </c>
      <c r="H23" s="78">
        <v>633559</v>
      </c>
      <c r="I23" s="78">
        <v>8163</v>
      </c>
      <c r="J23" s="78">
        <v>641722</v>
      </c>
      <c r="K23" s="78">
        <v>52373</v>
      </c>
      <c r="L23" s="98">
        <v>1</v>
      </c>
      <c r="M23" s="78">
        <v>52374</v>
      </c>
      <c r="N23" s="78">
        <v>1092323</v>
      </c>
      <c r="O23" s="78">
        <v>15351</v>
      </c>
      <c r="P23" s="78">
        <v>1107674</v>
      </c>
      <c r="Q23" s="87">
        <f>(D23*'Cost Data'!$C$9)+(G23*'Cost Data'!$C$10)+(J23*'Cost Data'!$C$11)+(M23*'Cost Data'!$C$12)</f>
        <v>18919076000</v>
      </c>
    </row>
    <row r="24" spans="1:17" ht="25.8" customHeight="1" x14ac:dyDescent="0.3">
      <c r="A24" s="94" t="s">
        <v>28</v>
      </c>
      <c r="B24" s="79">
        <v>1946027</v>
      </c>
      <c r="C24" s="79">
        <v>29994</v>
      </c>
      <c r="D24" s="79">
        <v>1976021</v>
      </c>
      <c r="E24" s="79">
        <v>15047</v>
      </c>
      <c r="F24" s="79">
        <v>7754</v>
      </c>
      <c r="G24" s="79">
        <v>22801</v>
      </c>
      <c r="H24" s="79">
        <v>2015106</v>
      </c>
      <c r="I24" s="79">
        <v>41009</v>
      </c>
      <c r="J24" s="79">
        <v>2056115</v>
      </c>
      <c r="K24" s="79">
        <v>123860</v>
      </c>
      <c r="L24" s="95">
        <v>76</v>
      </c>
      <c r="M24" s="79">
        <v>123936</v>
      </c>
      <c r="N24" s="79">
        <v>4100040</v>
      </c>
      <c r="O24" s="79">
        <v>78833</v>
      </c>
      <c r="P24" s="79">
        <v>4178873</v>
      </c>
      <c r="Q24" s="87">
        <f>(D24*'Cost Data'!$C$9)+(G24*'Cost Data'!$C$10)+(J24*'Cost Data'!$C$11)+(M24*'Cost Data'!$C$12)</f>
        <v>66132432000</v>
      </c>
    </row>
    <row r="25" spans="1:17" ht="25.8" customHeight="1" x14ac:dyDescent="0.3">
      <c r="A25" s="93" t="s">
        <v>318</v>
      </c>
      <c r="B25" s="77">
        <v>2281877</v>
      </c>
      <c r="C25" s="77">
        <v>23594</v>
      </c>
      <c r="D25" s="77">
        <v>2305471</v>
      </c>
      <c r="E25" s="77">
        <v>10755</v>
      </c>
      <c r="F25" s="77">
        <v>1024</v>
      </c>
      <c r="G25" s="77">
        <v>11779</v>
      </c>
      <c r="H25" s="77">
        <v>2551134</v>
      </c>
      <c r="I25" s="77">
        <v>33346</v>
      </c>
      <c r="J25" s="77">
        <v>2584480</v>
      </c>
      <c r="K25" s="77">
        <v>167748</v>
      </c>
      <c r="L25" s="96">
        <v>81</v>
      </c>
      <c r="M25" s="77">
        <v>167829</v>
      </c>
      <c r="N25" s="77">
        <v>5011514</v>
      </c>
      <c r="O25" s="77">
        <v>58045</v>
      </c>
      <c r="P25" s="77">
        <v>5069559</v>
      </c>
      <c r="Q25" s="87">
        <f>(D25*'Cost Data'!$C$9)+(G25*'Cost Data'!$C$10)+(J25*'Cost Data'!$C$11)+(M25*'Cost Data'!$C$12)</f>
        <v>81183874000</v>
      </c>
    </row>
    <row r="26" spans="1:17" ht="25.8" customHeight="1" x14ac:dyDescent="0.3">
      <c r="A26" s="93" t="s">
        <v>30</v>
      </c>
      <c r="B26" s="77">
        <v>3223117</v>
      </c>
      <c r="C26" s="77">
        <v>25242</v>
      </c>
      <c r="D26" s="77">
        <v>3248359</v>
      </c>
      <c r="E26" s="77">
        <v>3368</v>
      </c>
      <c r="F26" s="77">
        <v>5288</v>
      </c>
      <c r="G26" s="77">
        <v>8656</v>
      </c>
      <c r="H26" s="77">
        <v>4772452</v>
      </c>
      <c r="I26" s="77">
        <v>46777</v>
      </c>
      <c r="J26" s="77">
        <v>4819229</v>
      </c>
      <c r="K26" s="77">
        <v>256651</v>
      </c>
      <c r="L26" s="92" t="s">
        <v>315</v>
      </c>
      <c r="M26" s="77">
        <v>256651</v>
      </c>
      <c r="N26" s="77">
        <v>8255588</v>
      </c>
      <c r="O26" s="77">
        <v>77307</v>
      </c>
      <c r="P26" s="77">
        <v>8332895</v>
      </c>
      <c r="Q26" s="87">
        <f>(D26*'Cost Data'!$C$9)+(G26*'Cost Data'!$C$10)+(J26*'Cost Data'!$C$11)+(M26*'Cost Data'!$C$12)</f>
        <v>142438662000</v>
      </c>
    </row>
    <row r="27" spans="1:17" ht="25.8" customHeight="1" x14ac:dyDescent="0.3">
      <c r="A27" s="97" t="s">
        <v>31</v>
      </c>
      <c r="B27" s="78">
        <v>2064532</v>
      </c>
      <c r="C27" s="78">
        <v>17191</v>
      </c>
      <c r="D27" s="78">
        <v>2081723</v>
      </c>
      <c r="E27" s="78">
        <v>13588</v>
      </c>
      <c r="F27" s="78">
        <v>5591</v>
      </c>
      <c r="G27" s="78">
        <v>19179</v>
      </c>
      <c r="H27" s="78">
        <v>2997572</v>
      </c>
      <c r="I27" s="78">
        <v>30466</v>
      </c>
      <c r="J27" s="78">
        <v>3028038</v>
      </c>
      <c r="K27" s="78">
        <v>229377</v>
      </c>
      <c r="L27" s="99" t="s">
        <v>315</v>
      </c>
      <c r="M27" s="78">
        <v>229377</v>
      </c>
      <c r="N27" s="78">
        <v>5305069</v>
      </c>
      <c r="O27" s="78">
        <v>53248</v>
      </c>
      <c r="P27" s="78">
        <v>5358317</v>
      </c>
      <c r="Q27" s="87">
        <f>(D27*'Cost Data'!$C$9)+(G27*'Cost Data'!$C$10)+(J27*'Cost Data'!$C$11)+(M27*'Cost Data'!$C$12)</f>
        <v>90399178000</v>
      </c>
    </row>
    <row r="28" spans="1:17" ht="25.8" customHeight="1" x14ac:dyDescent="0.3">
      <c r="A28" s="94" t="s">
        <v>32</v>
      </c>
      <c r="B28" s="79">
        <v>837962</v>
      </c>
      <c r="C28" s="79">
        <v>2775</v>
      </c>
      <c r="D28" s="79">
        <v>840737</v>
      </c>
      <c r="E28" s="79">
        <v>2069</v>
      </c>
      <c r="F28" s="79">
        <v>6019</v>
      </c>
      <c r="G28" s="79">
        <v>8088</v>
      </c>
      <c r="H28" s="79">
        <v>1182517</v>
      </c>
      <c r="I28" s="79">
        <v>7641</v>
      </c>
      <c r="J28" s="79">
        <v>1190158</v>
      </c>
      <c r="K28" s="79">
        <v>28239</v>
      </c>
      <c r="L28" s="89" t="s">
        <v>315</v>
      </c>
      <c r="M28" s="79">
        <v>28239</v>
      </c>
      <c r="N28" s="79">
        <v>2050787</v>
      </c>
      <c r="O28" s="79">
        <v>16435</v>
      </c>
      <c r="P28" s="79">
        <v>2067222</v>
      </c>
      <c r="Q28" s="87">
        <f>(D28*'Cost Data'!$C$9)+(G28*'Cost Data'!$C$10)+(J28*'Cost Data'!$C$11)+(M28*'Cost Data'!$C$12)</f>
        <v>35604982000</v>
      </c>
    </row>
    <row r="29" spans="1:17" ht="25.8" customHeight="1" x14ac:dyDescent="0.3">
      <c r="A29" s="93" t="s">
        <v>33</v>
      </c>
      <c r="B29" s="77">
        <v>2228930</v>
      </c>
      <c r="C29" s="77">
        <v>18984</v>
      </c>
      <c r="D29" s="77">
        <v>2247914</v>
      </c>
      <c r="E29" s="77">
        <v>27446</v>
      </c>
      <c r="F29" s="96">
        <v>123</v>
      </c>
      <c r="G29" s="77">
        <v>27569</v>
      </c>
      <c r="H29" s="77">
        <v>3221609</v>
      </c>
      <c r="I29" s="77">
        <v>33853</v>
      </c>
      <c r="J29" s="77">
        <v>3255462</v>
      </c>
      <c r="K29" s="77">
        <v>153580</v>
      </c>
      <c r="L29" s="92" t="s">
        <v>315</v>
      </c>
      <c r="M29" s="77">
        <v>153580</v>
      </c>
      <c r="N29" s="77">
        <v>5631565</v>
      </c>
      <c r="O29" s="77">
        <v>52960</v>
      </c>
      <c r="P29" s="77">
        <v>5684525</v>
      </c>
      <c r="Q29" s="87">
        <f>(D29*'Cost Data'!$C$9)+(G29*'Cost Data'!$C$10)+(J29*'Cost Data'!$C$11)+(M29*'Cost Data'!$C$12)</f>
        <v>97303768000</v>
      </c>
    </row>
    <row r="30" spans="1:17" ht="25.8" customHeight="1" x14ac:dyDescent="0.3">
      <c r="A30" s="93" t="s">
        <v>34</v>
      </c>
      <c r="B30" s="77">
        <v>440423</v>
      </c>
      <c r="C30" s="96">
        <v>778</v>
      </c>
      <c r="D30" s="77">
        <v>441201</v>
      </c>
      <c r="E30" s="77">
        <v>4491</v>
      </c>
      <c r="F30" s="96">
        <v>143</v>
      </c>
      <c r="G30" s="77">
        <v>4634</v>
      </c>
      <c r="H30" s="77">
        <v>1051940</v>
      </c>
      <c r="I30" s="77">
        <v>6662</v>
      </c>
      <c r="J30" s="77">
        <v>1058602</v>
      </c>
      <c r="K30" s="77">
        <v>290291</v>
      </c>
      <c r="L30" s="96">
        <v>4</v>
      </c>
      <c r="M30" s="77">
        <v>290295</v>
      </c>
      <c r="N30" s="77">
        <v>1787145</v>
      </c>
      <c r="O30" s="77">
        <v>7587</v>
      </c>
      <c r="P30" s="77">
        <v>1794732</v>
      </c>
      <c r="Q30" s="87">
        <f>(D30*'Cost Data'!$C$9)+(G30*'Cost Data'!$C$10)+(J30*'Cost Data'!$C$11)+(M30*'Cost Data'!$C$12)</f>
        <v>29664934000</v>
      </c>
    </row>
    <row r="31" spans="1:17" ht="25.8" customHeight="1" x14ac:dyDescent="0.3">
      <c r="A31" s="97" t="s">
        <v>35</v>
      </c>
      <c r="B31" s="78">
        <v>685275</v>
      </c>
      <c r="C31" s="78">
        <v>15002</v>
      </c>
      <c r="D31" s="78">
        <v>700277</v>
      </c>
      <c r="E31" s="78">
        <v>13414</v>
      </c>
      <c r="F31" s="98">
        <v>38</v>
      </c>
      <c r="G31" s="78">
        <v>13452</v>
      </c>
      <c r="H31" s="78">
        <v>1155178</v>
      </c>
      <c r="I31" s="78">
        <v>27499</v>
      </c>
      <c r="J31" s="78">
        <v>1182677</v>
      </c>
      <c r="K31" s="78">
        <v>55340</v>
      </c>
      <c r="L31" s="98">
        <v>20</v>
      </c>
      <c r="M31" s="78">
        <v>55360</v>
      </c>
      <c r="N31" s="78">
        <v>1909207</v>
      </c>
      <c r="O31" s="78">
        <v>42559</v>
      </c>
      <c r="P31" s="78">
        <v>1951766</v>
      </c>
      <c r="Q31" s="87">
        <f>(D31*'Cost Data'!$C$9)+(G31*'Cost Data'!$C$10)+(J31*'Cost Data'!$C$11)+(M31*'Cost Data'!$C$12)</f>
        <v>34527648000</v>
      </c>
    </row>
    <row r="32" spans="1:17" ht="25.8" customHeight="1" x14ac:dyDescent="0.3">
      <c r="A32" s="94" t="s">
        <v>36</v>
      </c>
      <c r="B32" s="79">
        <v>1039332</v>
      </c>
      <c r="C32" s="79">
        <v>8030</v>
      </c>
      <c r="D32" s="79">
        <v>1047362</v>
      </c>
      <c r="E32" s="95">
        <v>482</v>
      </c>
      <c r="F32" s="79">
        <v>2646</v>
      </c>
      <c r="G32" s="79">
        <v>3128</v>
      </c>
      <c r="H32" s="79">
        <v>1258326</v>
      </c>
      <c r="I32" s="79">
        <v>15281</v>
      </c>
      <c r="J32" s="79">
        <v>1273607</v>
      </c>
      <c r="K32" s="79">
        <v>74557</v>
      </c>
      <c r="L32" s="95">
        <v>5</v>
      </c>
      <c r="M32" s="79">
        <v>74562</v>
      </c>
      <c r="N32" s="79">
        <v>2372697</v>
      </c>
      <c r="O32" s="79">
        <v>25962</v>
      </c>
      <c r="P32" s="79">
        <v>2398659</v>
      </c>
      <c r="Q32" s="87">
        <f>(D32*'Cost Data'!$C$9)+(G32*'Cost Data'!$C$10)+(J32*'Cost Data'!$C$11)+(M32*'Cost Data'!$C$12)</f>
        <v>39194684000</v>
      </c>
    </row>
    <row r="33" spans="1:17" ht="25.8" customHeight="1" x14ac:dyDescent="0.3">
      <c r="A33" s="93" t="s">
        <v>37</v>
      </c>
      <c r="B33" s="77">
        <v>525365</v>
      </c>
      <c r="C33" s="77">
        <v>4126</v>
      </c>
      <c r="D33" s="77">
        <v>529491</v>
      </c>
      <c r="E33" s="96">
        <v>566</v>
      </c>
      <c r="F33" s="77">
        <v>2232</v>
      </c>
      <c r="G33" s="77">
        <v>2798</v>
      </c>
      <c r="H33" s="77">
        <v>705160</v>
      </c>
      <c r="I33" s="77">
        <v>7015</v>
      </c>
      <c r="J33" s="77">
        <v>712175</v>
      </c>
      <c r="K33" s="77">
        <v>78218</v>
      </c>
      <c r="L33" s="92" t="s">
        <v>315</v>
      </c>
      <c r="M33" s="77">
        <v>78218</v>
      </c>
      <c r="N33" s="77">
        <v>1309309</v>
      </c>
      <c r="O33" s="77">
        <v>13373</v>
      </c>
      <c r="P33" s="77">
        <v>1322682</v>
      </c>
      <c r="Q33" s="87">
        <f>(D33*'Cost Data'!$C$9)+(G33*'Cost Data'!$C$10)+(J33*'Cost Data'!$C$11)+(M33*'Cost Data'!$C$12)</f>
        <v>21574100000</v>
      </c>
    </row>
    <row r="34" spans="1:17" ht="25.8" customHeight="1" x14ac:dyDescent="0.3">
      <c r="A34" s="93" t="s">
        <v>38</v>
      </c>
      <c r="B34" s="77">
        <v>2823062</v>
      </c>
      <c r="C34" s="77">
        <v>24819</v>
      </c>
      <c r="D34" s="77">
        <v>2847881</v>
      </c>
      <c r="E34" s="77">
        <v>22769</v>
      </c>
      <c r="F34" s="77">
        <v>2280</v>
      </c>
      <c r="G34" s="77">
        <v>25049</v>
      </c>
      <c r="H34" s="77">
        <v>2882053</v>
      </c>
      <c r="I34" s="77">
        <v>34913</v>
      </c>
      <c r="J34" s="77">
        <v>2916966</v>
      </c>
      <c r="K34" s="77">
        <v>151101</v>
      </c>
      <c r="L34" s="92" t="s">
        <v>315</v>
      </c>
      <c r="M34" s="77">
        <v>151101</v>
      </c>
      <c r="N34" s="77">
        <v>5878985</v>
      </c>
      <c r="O34" s="77">
        <v>62012</v>
      </c>
      <c r="P34" s="77">
        <v>5940997</v>
      </c>
      <c r="Q34" s="87">
        <f>(D34*'Cost Data'!$C$9)+(G34*'Cost Data'!$C$10)+(J34*'Cost Data'!$C$11)+(M34*'Cost Data'!$C$12)</f>
        <v>93894002000</v>
      </c>
    </row>
    <row r="35" spans="1:17" ht="25.8" customHeight="1" x14ac:dyDescent="0.3">
      <c r="A35" s="97" t="s">
        <v>39</v>
      </c>
      <c r="B35" s="78">
        <v>653178</v>
      </c>
      <c r="C35" s="78">
        <v>8019</v>
      </c>
      <c r="D35" s="78">
        <v>661197</v>
      </c>
      <c r="E35" s="78">
        <v>6076</v>
      </c>
      <c r="F35" s="98">
        <v>207</v>
      </c>
      <c r="G35" s="78">
        <v>6283</v>
      </c>
      <c r="H35" s="78">
        <v>1072069</v>
      </c>
      <c r="I35" s="78">
        <v>22535</v>
      </c>
      <c r="J35" s="78">
        <v>1094604</v>
      </c>
      <c r="K35" s="78">
        <v>61877</v>
      </c>
      <c r="L35" s="99" t="s">
        <v>315</v>
      </c>
      <c r="M35" s="78">
        <v>61877</v>
      </c>
      <c r="N35" s="78">
        <v>1793200</v>
      </c>
      <c r="O35" s="78">
        <v>30761</v>
      </c>
      <c r="P35" s="78">
        <v>1823961</v>
      </c>
      <c r="Q35" s="87">
        <f>(D35*'Cost Data'!$C$9)+(G35*'Cost Data'!$C$10)+(J35*'Cost Data'!$C$11)+(M35*'Cost Data'!$C$12)</f>
        <v>31884882000</v>
      </c>
    </row>
    <row r="36" spans="1:17" ht="25.8" customHeight="1" x14ac:dyDescent="0.3">
      <c r="A36" s="94" t="s">
        <v>40</v>
      </c>
      <c r="B36" s="79">
        <v>4868791</v>
      </c>
      <c r="C36" s="79">
        <v>22125</v>
      </c>
      <c r="D36" s="79">
        <v>4890916</v>
      </c>
      <c r="E36" s="79">
        <v>73771</v>
      </c>
      <c r="F36" s="79">
        <v>7009</v>
      </c>
      <c r="G36" s="79">
        <v>80780</v>
      </c>
      <c r="H36" s="79">
        <v>5716772</v>
      </c>
      <c r="I36" s="79">
        <v>41153</v>
      </c>
      <c r="J36" s="79">
        <v>5757925</v>
      </c>
      <c r="K36" s="79">
        <v>392763</v>
      </c>
      <c r="L36" s="95">
        <v>8</v>
      </c>
      <c r="M36" s="79">
        <v>392771</v>
      </c>
      <c r="N36" s="79">
        <v>11052097</v>
      </c>
      <c r="O36" s="79">
        <v>70295</v>
      </c>
      <c r="P36" s="79">
        <v>11122392</v>
      </c>
      <c r="Q36" s="87">
        <f>(D36*'Cost Data'!$C$9)+(G36*'Cost Data'!$C$10)+(J36*'Cost Data'!$C$11)+(M36*'Cost Data'!$C$12)</f>
        <v>180688030000</v>
      </c>
    </row>
    <row r="37" spans="1:17" ht="25.8" customHeight="1" x14ac:dyDescent="0.3">
      <c r="A37" s="93" t="s">
        <v>41</v>
      </c>
      <c r="B37" s="77">
        <v>3498169</v>
      </c>
      <c r="C37" s="77">
        <v>48194</v>
      </c>
      <c r="D37" s="77">
        <v>3546363</v>
      </c>
      <c r="E37" s="77">
        <v>12065</v>
      </c>
      <c r="F37" s="77">
        <v>20460</v>
      </c>
      <c r="G37" s="77">
        <v>32525</v>
      </c>
      <c r="H37" s="77">
        <v>4425918</v>
      </c>
      <c r="I37" s="77">
        <v>70219</v>
      </c>
      <c r="J37" s="77">
        <v>4496137</v>
      </c>
      <c r="K37" s="77">
        <v>195336</v>
      </c>
      <c r="L37" s="96">
        <v>282</v>
      </c>
      <c r="M37" s="77">
        <v>195618</v>
      </c>
      <c r="N37" s="77">
        <v>8131488</v>
      </c>
      <c r="O37" s="77">
        <v>139155</v>
      </c>
      <c r="P37" s="77">
        <v>8270643</v>
      </c>
      <c r="Q37" s="87">
        <f>(D37*'Cost Data'!$C$9)+(G37*'Cost Data'!$C$10)+(J37*'Cost Data'!$C$11)+(M37*'Cost Data'!$C$12)</f>
        <v>137710228000</v>
      </c>
    </row>
    <row r="38" spans="1:17" ht="25.8" customHeight="1" x14ac:dyDescent="0.3">
      <c r="A38" s="93" t="s">
        <v>42</v>
      </c>
      <c r="B38" s="77">
        <v>238964</v>
      </c>
      <c r="C38" s="77">
        <v>4374</v>
      </c>
      <c r="D38" s="77">
        <v>243338</v>
      </c>
      <c r="E38" s="96">
        <v>970</v>
      </c>
      <c r="F38" s="77">
        <v>1865</v>
      </c>
      <c r="G38" s="77">
        <v>2835</v>
      </c>
      <c r="H38" s="77">
        <v>596328</v>
      </c>
      <c r="I38" s="77">
        <v>13453</v>
      </c>
      <c r="J38" s="77">
        <v>609781</v>
      </c>
      <c r="K38" s="77">
        <v>38985</v>
      </c>
      <c r="L38" s="96">
        <v>15</v>
      </c>
      <c r="M38" s="77">
        <v>39000</v>
      </c>
      <c r="N38" s="77">
        <v>875247</v>
      </c>
      <c r="O38" s="77">
        <v>19707</v>
      </c>
      <c r="P38" s="77">
        <v>894954</v>
      </c>
      <c r="Q38" s="87">
        <f>(D38*'Cost Data'!$C$9)+(G38*'Cost Data'!$C$10)+(J38*'Cost Data'!$C$11)+(M38*'Cost Data'!$C$12)</f>
        <v>16750168000</v>
      </c>
    </row>
    <row r="39" spans="1:17" ht="25.8" customHeight="1" x14ac:dyDescent="0.3">
      <c r="A39" s="97" t="s">
        <v>43</v>
      </c>
      <c r="B39" s="78">
        <v>4648574</v>
      </c>
      <c r="C39" s="78">
        <v>45373</v>
      </c>
      <c r="D39" s="78">
        <v>4693947</v>
      </c>
      <c r="E39" s="78">
        <v>34203</v>
      </c>
      <c r="F39" s="78">
        <v>6641</v>
      </c>
      <c r="G39" s="78">
        <v>40844</v>
      </c>
      <c r="H39" s="78">
        <v>5478824</v>
      </c>
      <c r="I39" s="78">
        <v>64328</v>
      </c>
      <c r="J39" s="78">
        <v>5543152</v>
      </c>
      <c r="K39" s="78">
        <v>408088</v>
      </c>
      <c r="L39" s="98">
        <v>26</v>
      </c>
      <c r="M39" s="78">
        <v>408114</v>
      </c>
      <c r="N39" s="78">
        <v>10569689</v>
      </c>
      <c r="O39" s="78">
        <v>116368</v>
      </c>
      <c r="P39" s="78">
        <v>10686057</v>
      </c>
      <c r="Q39" s="87">
        <f>(D39*'Cost Data'!$C$9)+(G39*'Cost Data'!$C$10)+(J39*'Cost Data'!$C$11)+(M39*'Cost Data'!$C$12)</f>
        <v>172710460000</v>
      </c>
    </row>
    <row r="40" spans="1:17" ht="25.8" customHeight="1" x14ac:dyDescent="0.3">
      <c r="A40" s="94" t="s">
        <v>44</v>
      </c>
      <c r="B40" s="79">
        <v>1371425</v>
      </c>
      <c r="C40" s="79">
        <v>7797</v>
      </c>
      <c r="D40" s="79">
        <v>1379222</v>
      </c>
      <c r="E40" s="79">
        <v>1880</v>
      </c>
      <c r="F40" s="79">
        <v>1291</v>
      </c>
      <c r="G40" s="79">
        <v>3171</v>
      </c>
      <c r="H40" s="79">
        <v>2201925</v>
      </c>
      <c r="I40" s="79">
        <v>17150</v>
      </c>
      <c r="J40" s="79">
        <v>2219075</v>
      </c>
      <c r="K40" s="79">
        <v>135936</v>
      </c>
      <c r="L40" s="95">
        <v>1</v>
      </c>
      <c r="M40" s="79">
        <v>135937</v>
      </c>
      <c r="N40" s="79">
        <v>3711166</v>
      </c>
      <c r="O40" s="79">
        <v>26239</v>
      </c>
      <c r="P40" s="79">
        <v>3737405</v>
      </c>
      <c r="Q40" s="87">
        <f>(D40*'Cost Data'!$C$9)+(G40*'Cost Data'!$C$10)+(J40*'Cost Data'!$C$11)+(M40*'Cost Data'!$C$12)</f>
        <v>64664922000</v>
      </c>
    </row>
    <row r="41" spans="1:17" ht="25.8" customHeight="1" x14ac:dyDescent="0.3">
      <c r="A41" s="93" t="s">
        <v>45</v>
      </c>
      <c r="B41" s="77">
        <v>1458348</v>
      </c>
      <c r="C41" s="77">
        <v>25228</v>
      </c>
      <c r="D41" s="77">
        <v>1483576</v>
      </c>
      <c r="E41" s="77">
        <v>8209</v>
      </c>
      <c r="F41" s="77">
        <v>8860</v>
      </c>
      <c r="G41" s="77">
        <v>17069</v>
      </c>
      <c r="H41" s="77">
        <v>2130200</v>
      </c>
      <c r="I41" s="77">
        <v>44623</v>
      </c>
      <c r="J41" s="77">
        <v>2174823</v>
      </c>
      <c r="K41" s="77">
        <v>135464</v>
      </c>
      <c r="L41" s="96">
        <v>774</v>
      </c>
      <c r="M41" s="77">
        <v>136238</v>
      </c>
      <c r="N41" s="77">
        <v>3732221</v>
      </c>
      <c r="O41" s="77">
        <v>79485</v>
      </c>
      <c r="P41" s="77">
        <v>3811706</v>
      </c>
      <c r="Q41" s="87">
        <f>(D41*'Cost Data'!$C$9)+(G41*'Cost Data'!$C$10)+(J41*'Cost Data'!$C$11)+(M41*'Cost Data'!$C$12)</f>
        <v>64883044000</v>
      </c>
    </row>
    <row r="42" spans="1:17" ht="25.8" customHeight="1" x14ac:dyDescent="0.3">
      <c r="A42" s="93" t="s">
        <v>46</v>
      </c>
      <c r="B42" s="77">
        <v>4590646</v>
      </c>
      <c r="C42" s="77">
        <v>49825</v>
      </c>
      <c r="D42" s="77">
        <v>4640471</v>
      </c>
      <c r="E42" s="77">
        <v>53160</v>
      </c>
      <c r="F42" s="77">
        <v>2688</v>
      </c>
      <c r="G42" s="77">
        <v>55848</v>
      </c>
      <c r="H42" s="77">
        <v>5587285</v>
      </c>
      <c r="I42" s="77">
        <v>72181</v>
      </c>
      <c r="J42" s="77">
        <v>5659466</v>
      </c>
      <c r="K42" s="77">
        <v>392252</v>
      </c>
      <c r="L42" s="96">
        <v>785</v>
      </c>
      <c r="M42" s="77">
        <v>393037</v>
      </c>
      <c r="N42" s="77">
        <v>10623343</v>
      </c>
      <c r="O42" s="77">
        <v>125479</v>
      </c>
      <c r="P42" s="77">
        <v>10748822</v>
      </c>
      <c r="Q42" s="87">
        <f>(D42*'Cost Data'!$C$9)+(G42*'Cost Data'!$C$10)+(J42*'Cost Data'!$C$11)+(M42*'Cost Data'!$C$12)</f>
        <v>175524162000</v>
      </c>
    </row>
    <row r="43" spans="1:17" ht="25.8" customHeight="1" x14ac:dyDescent="0.3">
      <c r="A43" s="97" t="s">
        <v>47</v>
      </c>
      <c r="B43" s="78">
        <v>428967</v>
      </c>
      <c r="C43" s="78">
        <v>7280</v>
      </c>
      <c r="D43" s="78">
        <v>436247</v>
      </c>
      <c r="E43" s="78">
        <v>1879</v>
      </c>
      <c r="F43" s="98">
        <v>406</v>
      </c>
      <c r="G43" s="78">
        <v>2285</v>
      </c>
      <c r="H43" s="78">
        <v>398255</v>
      </c>
      <c r="I43" s="78">
        <v>8304</v>
      </c>
      <c r="J43" s="78">
        <v>406559</v>
      </c>
      <c r="K43" s="78">
        <v>31034</v>
      </c>
      <c r="L43" s="98">
        <v>103</v>
      </c>
      <c r="M43" s="78">
        <v>31137</v>
      </c>
      <c r="N43" s="78">
        <v>860135</v>
      </c>
      <c r="O43" s="78">
        <v>16093</v>
      </c>
      <c r="P43" s="78">
        <v>876228</v>
      </c>
      <c r="Q43" s="87">
        <f>(D43*'Cost Data'!$C$9)+(G43*'Cost Data'!$C$10)+(J43*'Cost Data'!$C$11)+(M43*'Cost Data'!$C$12)</f>
        <v>13382786000</v>
      </c>
    </row>
    <row r="44" spans="1:17" ht="25.8" customHeight="1" x14ac:dyDescent="0.3">
      <c r="A44" s="94" t="s">
        <v>48</v>
      </c>
      <c r="B44" s="79">
        <v>1754908</v>
      </c>
      <c r="C44" s="79">
        <v>85449</v>
      </c>
      <c r="D44" s="79">
        <v>1840357</v>
      </c>
      <c r="E44" s="79">
        <v>5408</v>
      </c>
      <c r="F44" s="79">
        <v>12305</v>
      </c>
      <c r="G44" s="79">
        <v>17713</v>
      </c>
      <c r="H44" s="79">
        <v>2234416</v>
      </c>
      <c r="I44" s="79">
        <v>113832</v>
      </c>
      <c r="J44" s="79">
        <v>2348248</v>
      </c>
      <c r="K44" s="79">
        <v>117633</v>
      </c>
      <c r="L44" s="95">
        <v>472</v>
      </c>
      <c r="M44" s="79">
        <v>118105</v>
      </c>
      <c r="N44" s="79">
        <v>4112365</v>
      </c>
      <c r="O44" s="79">
        <v>212058</v>
      </c>
      <c r="P44" s="79">
        <v>4324423</v>
      </c>
      <c r="Q44" s="87">
        <f>(D44*'Cost Data'!$C$9)+(G44*'Cost Data'!$C$10)+(J44*'Cost Data'!$C$11)+(M44*'Cost Data'!$C$12)</f>
        <v>71883834000</v>
      </c>
    </row>
    <row r="45" spans="1:17" ht="25.8" customHeight="1" x14ac:dyDescent="0.3">
      <c r="A45" s="93" t="s">
        <v>49</v>
      </c>
      <c r="B45" s="77">
        <v>358446</v>
      </c>
      <c r="C45" s="77">
        <v>6130</v>
      </c>
      <c r="D45" s="77">
        <v>364576</v>
      </c>
      <c r="E45" s="92" t="s">
        <v>315</v>
      </c>
      <c r="F45" s="77">
        <v>2339</v>
      </c>
      <c r="G45" s="77">
        <v>2339</v>
      </c>
      <c r="H45" s="77">
        <v>749715</v>
      </c>
      <c r="I45" s="77">
        <v>14987</v>
      </c>
      <c r="J45" s="77">
        <v>764702</v>
      </c>
      <c r="K45" s="77">
        <v>114143</v>
      </c>
      <c r="L45" s="96">
        <v>599</v>
      </c>
      <c r="M45" s="77">
        <v>114742</v>
      </c>
      <c r="N45" s="77">
        <v>1222304</v>
      </c>
      <c r="O45" s="77">
        <v>24055</v>
      </c>
      <c r="P45" s="77">
        <v>1246359</v>
      </c>
      <c r="Q45" s="87">
        <f>(D45*'Cost Data'!$C$9)+(G45*'Cost Data'!$C$10)+(J45*'Cost Data'!$C$11)+(M45*'Cost Data'!$C$12)</f>
        <v>21573788000</v>
      </c>
    </row>
    <row r="46" spans="1:17" ht="25.8" customHeight="1" x14ac:dyDescent="0.3">
      <c r="A46" s="93" t="s">
        <v>50</v>
      </c>
      <c r="B46" s="77">
        <v>2295987</v>
      </c>
      <c r="C46" s="77">
        <v>51819</v>
      </c>
      <c r="D46" s="77">
        <v>2347806</v>
      </c>
      <c r="E46" s="77">
        <v>2892</v>
      </c>
      <c r="F46" s="77">
        <v>25150</v>
      </c>
      <c r="G46" s="77">
        <v>28042</v>
      </c>
      <c r="H46" s="77">
        <v>3088978</v>
      </c>
      <c r="I46" s="77">
        <v>77136</v>
      </c>
      <c r="J46" s="77">
        <v>3166114</v>
      </c>
      <c r="K46" s="77">
        <v>165507</v>
      </c>
      <c r="L46" s="77">
        <v>2454</v>
      </c>
      <c r="M46" s="77">
        <v>167961</v>
      </c>
      <c r="N46" s="77">
        <v>5553364</v>
      </c>
      <c r="O46" s="77">
        <v>156559</v>
      </c>
      <c r="P46" s="77">
        <v>5709923</v>
      </c>
      <c r="Q46" s="87">
        <f>(D46*'Cost Data'!$C$9)+(G46*'Cost Data'!$C$10)+(J46*'Cost Data'!$C$11)+(M46*'Cost Data'!$C$12)</f>
        <v>96002450000</v>
      </c>
    </row>
    <row r="47" spans="1:17" ht="25.8" customHeight="1" x14ac:dyDescent="0.3">
      <c r="A47" s="97" t="s">
        <v>51</v>
      </c>
      <c r="B47" s="78">
        <v>8193715</v>
      </c>
      <c r="C47" s="78">
        <v>93539</v>
      </c>
      <c r="D47" s="78">
        <v>8287254</v>
      </c>
      <c r="E47" s="78">
        <v>18647</v>
      </c>
      <c r="F47" s="78">
        <v>48050</v>
      </c>
      <c r="G47" s="78">
        <v>66697</v>
      </c>
      <c r="H47" s="78">
        <v>12861711</v>
      </c>
      <c r="I47" s="78">
        <v>175585</v>
      </c>
      <c r="J47" s="78">
        <v>13037296</v>
      </c>
      <c r="K47" s="78">
        <v>374018</v>
      </c>
      <c r="L47" s="98">
        <v>901</v>
      </c>
      <c r="M47" s="78">
        <v>374919</v>
      </c>
      <c r="N47" s="78">
        <v>21448091</v>
      </c>
      <c r="O47" s="78">
        <v>318075</v>
      </c>
      <c r="P47" s="78">
        <v>21766166</v>
      </c>
      <c r="Q47" s="87">
        <f>(D47*'Cost Data'!$C$9)+(G47*'Cost Data'!$C$10)+(J47*'Cost Data'!$C$11)+(M47*'Cost Data'!$C$12)</f>
        <v>382077278000</v>
      </c>
    </row>
    <row r="48" spans="1:17" ht="25.8" customHeight="1" x14ac:dyDescent="0.3">
      <c r="A48" s="94" t="s">
        <v>53</v>
      </c>
      <c r="B48" s="79">
        <v>929767</v>
      </c>
      <c r="C48" s="79">
        <v>10837</v>
      </c>
      <c r="D48" s="79">
        <v>940604</v>
      </c>
      <c r="E48" s="79">
        <v>2417</v>
      </c>
      <c r="F48" s="79">
        <v>3569</v>
      </c>
      <c r="G48" s="79">
        <v>5986</v>
      </c>
      <c r="H48" s="79">
        <v>1267677</v>
      </c>
      <c r="I48" s="79">
        <v>20392</v>
      </c>
      <c r="J48" s="79">
        <v>1288069</v>
      </c>
      <c r="K48" s="79">
        <v>82425</v>
      </c>
      <c r="L48" s="95">
        <v>198</v>
      </c>
      <c r="M48" s="79">
        <v>82623</v>
      </c>
      <c r="N48" s="79">
        <v>2282286</v>
      </c>
      <c r="O48" s="79">
        <v>34996</v>
      </c>
      <c r="P48" s="79">
        <v>2317282</v>
      </c>
      <c r="Q48" s="87">
        <f>(D48*'Cost Data'!$C$9)+(G48*'Cost Data'!$C$10)+(J48*'Cost Data'!$C$11)+(M48*'Cost Data'!$C$12)</f>
        <v>38795286000</v>
      </c>
    </row>
    <row r="49" spans="1:17" ht="25.8" customHeight="1" x14ac:dyDescent="0.3">
      <c r="A49" s="93" t="s">
        <v>54</v>
      </c>
      <c r="B49" s="77">
        <v>225365</v>
      </c>
      <c r="C49" s="77">
        <v>4205</v>
      </c>
      <c r="D49" s="77">
        <v>229570</v>
      </c>
      <c r="E49" s="96">
        <v>325</v>
      </c>
      <c r="F49" s="96">
        <v>767</v>
      </c>
      <c r="G49" s="77">
        <v>1092</v>
      </c>
      <c r="H49" s="77">
        <v>347063</v>
      </c>
      <c r="I49" s="77">
        <v>7249</v>
      </c>
      <c r="J49" s="77">
        <v>354312</v>
      </c>
      <c r="K49" s="77">
        <v>30976</v>
      </c>
      <c r="L49" s="92" t="s">
        <v>315</v>
      </c>
      <c r="M49" s="77">
        <v>30976</v>
      </c>
      <c r="N49" s="77">
        <v>603729</v>
      </c>
      <c r="O49" s="77">
        <v>12221</v>
      </c>
      <c r="P49" s="77">
        <v>615950</v>
      </c>
      <c r="Q49" s="87">
        <f>(D49*'Cost Data'!$C$9)+(G49*'Cost Data'!$C$10)+(J49*'Cost Data'!$C$11)+(M49*'Cost Data'!$C$12)</f>
        <v>10436944000</v>
      </c>
    </row>
    <row r="50" spans="1:17" ht="25.8" customHeight="1" x14ac:dyDescent="0.3">
      <c r="A50" s="93" t="s">
        <v>55</v>
      </c>
      <c r="B50" s="77">
        <v>3196419</v>
      </c>
      <c r="C50" s="77">
        <v>46101</v>
      </c>
      <c r="D50" s="77">
        <v>3242520</v>
      </c>
      <c r="E50" s="77">
        <v>7920</v>
      </c>
      <c r="F50" s="77">
        <v>25287</v>
      </c>
      <c r="G50" s="77">
        <v>33207</v>
      </c>
      <c r="H50" s="77">
        <v>3764157</v>
      </c>
      <c r="I50" s="77">
        <v>69377</v>
      </c>
      <c r="J50" s="77">
        <v>3833534</v>
      </c>
      <c r="K50" s="77">
        <v>191135</v>
      </c>
      <c r="L50" s="96">
        <v>685</v>
      </c>
      <c r="M50" s="77">
        <v>191820</v>
      </c>
      <c r="N50" s="77">
        <v>7159631</v>
      </c>
      <c r="O50" s="77">
        <v>141450</v>
      </c>
      <c r="P50" s="77">
        <v>7301081</v>
      </c>
      <c r="Q50" s="87">
        <f>(D50*'Cost Data'!$C$9)+(G50*'Cost Data'!$C$10)+(J50*'Cost Data'!$C$11)+(M50*'Cost Data'!$C$12)</f>
        <v>119391240000</v>
      </c>
    </row>
    <row r="51" spans="1:17" ht="25.8" customHeight="1" x14ac:dyDescent="0.3">
      <c r="A51" s="97" t="s">
        <v>56</v>
      </c>
      <c r="B51" s="78">
        <v>2863653</v>
      </c>
      <c r="C51" s="78">
        <v>72003</v>
      </c>
      <c r="D51" s="78">
        <v>2935656</v>
      </c>
      <c r="E51" s="78">
        <v>5091</v>
      </c>
      <c r="F51" s="78">
        <v>17964</v>
      </c>
      <c r="G51" s="78">
        <v>23055</v>
      </c>
      <c r="H51" s="78">
        <v>3745301</v>
      </c>
      <c r="I51" s="78">
        <v>107542</v>
      </c>
      <c r="J51" s="78">
        <v>3852843</v>
      </c>
      <c r="K51" s="78">
        <v>236134</v>
      </c>
      <c r="L51" s="98">
        <v>1</v>
      </c>
      <c r="M51" s="78">
        <v>236135</v>
      </c>
      <c r="N51" s="78">
        <v>6850179</v>
      </c>
      <c r="O51" s="78">
        <v>197510</v>
      </c>
      <c r="P51" s="78">
        <v>7047689</v>
      </c>
      <c r="Q51" s="87">
        <f>(D51*'Cost Data'!$C$9)+(G51*'Cost Data'!$C$10)+(J51*'Cost Data'!$C$11)+(M51*'Cost Data'!$C$12)</f>
        <v>117163510000</v>
      </c>
    </row>
    <row r="52" spans="1:17" ht="25.8" customHeight="1" x14ac:dyDescent="0.3">
      <c r="A52" s="94" t="s">
        <v>57</v>
      </c>
      <c r="B52" s="79">
        <v>571447</v>
      </c>
      <c r="C52" s="79">
        <v>13152</v>
      </c>
      <c r="D52" s="79">
        <v>584599</v>
      </c>
      <c r="E52" s="95">
        <v>246</v>
      </c>
      <c r="F52" s="79">
        <v>3078</v>
      </c>
      <c r="G52" s="79">
        <v>3324</v>
      </c>
      <c r="H52" s="79">
        <v>1029705</v>
      </c>
      <c r="I52" s="79">
        <v>26107</v>
      </c>
      <c r="J52" s="79">
        <v>1055812</v>
      </c>
      <c r="K52" s="79">
        <v>59733</v>
      </c>
      <c r="L52" s="79">
        <v>1357</v>
      </c>
      <c r="M52" s="79">
        <v>61090</v>
      </c>
      <c r="N52" s="79">
        <v>1661131</v>
      </c>
      <c r="O52" s="79">
        <v>43694</v>
      </c>
      <c r="P52" s="79">
        <v>1704825</v>
      </c>
      <c r="Q52" s="87">
        <f>(D52*'Cost Data'!$C$9)+(G52*'Cost Data'!$C$10)+(J52*'Cost Data'!$C$11)+(M52*'Cost Data'!$C$12)</f>
        <v>30244828000</v>
      </c>
    </row>
    <row r="53" spans="1:17" ht="25.8" customHeight="1" x14ac:dyDescent="0.3">
      <c r="A53" s="93" t="s">
        <v>58</v>
      </c>
      <c r="B53" s="77">
        <v>2125015</v>
      </c>
      <c r="C53" s="77">
        <v>34909</v>
      </c>
      <c r="D53" s="77">
        <v>2159924</v>
      </c>
      <c r="E53" s="77">
        <v>14708</v>
      </c>
      <c r="F53" s="96">
        <v>4</v>
      </c>
      <c r="G53" s="77">
        <v>14712</v>
      </c>
      <c r="H53" s="77">
        <v>3000490</v>
      </c>
      <c r="I53" s="77">
        <v>53944</v>
      </c>
      <c r="J53" s="77">
        <v>3054434</v>
      </c>
      <c r="K53" s="77">
        <v>334950</v>
      </c>
      <c r="L53" s="96">
        <v>409</v>
      </c>
      <c r="M53" s="77">
        <v>335359</v>
      </c>
      <c r="N53" s="77">
        <v>5475163</v>
      </c>
      <c r="O53" s="77">
        <v>89266</v>
      </c>
      <c r="P53" s="77">
        <v>5564429</v>
      </c>
      <c r="Q53" s="87">
        <f>(D53*'Cost Data'!$C$9)+(G53*'Cost Data'!$C$10)+(J53*'Cost Data'!$C$11)+(M53*'Cost Data'!$C$12)</f>
        <v>91727310000</v>
      </c>
    </row>
    <row r="54" spans="1:17" ht="25.8" customHeight="1" x14ac:dyDescent="0.3">
      <c r="A54" s="97" t="s">
        <v>59</v>
      </c>
      <c r="B54" s="78">
        <v>208062</v>
      </c>
      <c r="C54" s="78">
        <v>3551</v>
      </c>
      <c r="D54" s="78">
        <v>211613</v>
      </c>
      <c r="E54" s="78">
        <v>2664</v>
      </c>
      <c r="F54" s="78">
        <v>1554</v>
      </c>
      <c r="G54" s="78">
        <v>4218</v>
      </c>
      <c r="H54" s="78">
        <v>596739</v>
      </c>
      <c r="I54" s="78">
        <v>12619</v>
      </c>
      <c r="J54" s="78">
        <v>609358</v>
      </c>
      <c r="K54" s="78">
        <v>29932</v>
      </c>
      <c r="L54" s="98">
        <v>109</v>
      </c>
      <c r="M54" s="78">
        <v>30041</v>
      </c>
      <c r="N54" s="78">
        <v>837397</v>
      </c>
      <c r="O54" s="78">
        <v>17833</v>
      </c>
      <c r="P54" s="78">
        <v>855230</v>
      </c>
      <c r="Q54" s="87">
        <f>(D54*'Cost Data'!$C$9)+(G54*'Cost Data'!$C$10)+(J54*'Cost Data'!$C$11)+(M54*'Cost Data'!$C$12)</f>
        <v>16512554000</v>
      </c>
    </row>
    <row r="55" spans="1:17" ht="25.8" customHeight="1" x14ac:dyDescent="0.3">
      <c r="A55" s="100" t="s">
        <v>319</v>
      </c>
      <c r="B55" s="101">
        <v>111490611</v>
      </c>
      <c r="C55" s="101">
        <v>1470655</v>
      </c>
      <c r="D55" s="101">
        <v>112961266</v>
      </c>
      <c r="E55" s="101">
        <v>567573</v>
      </c>
      <c r="F55" s="101">
        <v>408588</v>
      </c>
      <c r="G55" s="101">
        <v>976161</v>
      </c>
      <c r="H55" s="101">
        <v>143913338</v>
      </c>
      <c r="I55" s="101">
        <v>2268938</v>
      </c>
      <c r="J55" s="101">
        <v>146182276</v>
      </c>
      <c r="K55" s="101">
        <v>8649613</v>
      </c>
      <c r="L55" s="101">
        <v>29767</v>
      </c>
      <c r="M55" s="101">
        <v>8679380</v>
      </c>
      <c r="N55" s="101">
        <v>264621135</v>
      </c>
      <c r="O55" s="101">
        <v>4177948</v>
      </c>
      <c r="P55" s="101">
        <v>268799083</v>
      </c>
      <c r="Q55" s="87">
        <f>(D55*'Cost Data'!$C$9)+(G55*'Cost Data'!$C$10)+(J55*'Cost Data'!$C$11)+(M55*'Cost Data'!$C$12)</f>
        <v>4460660664000</v>
      </c>
    </row>
    <row r="56" spans="1:17" ht="25.8" customHeight="1" x14ac:dyDescent="0.3">
      <c r="A56" s="102"/>
      <c r="B56" s="103"/>
      <c r="C56" s="103"/>
      <c r="D56" s="103"/>
      <c r="E56" s="103"/>
      <c r="F56" s="103"/>
      <c r="G56" s="103"/>
      <c r="H56" s="103"/>
      <c r="I56" s="103"/>
      <c r="J56" s="103"/>
      <c r="K56" s="103"/>
      <c r="L56" s="103"/>
      <c r="M56" s="103"/>
      <c r="N56" s="103"/>
      <c r="O56" s="103"/>
      <c r="P56" s="104"/>
    </row>
  </sheetData>
  <mergeCells count="2">
    <mergeCell ref="B1:D1"/>
    <mergeCell ref="A3:A4"/>
  </mergeCells>
  <hyperlinks>
    <hyperlink ref="A3" r:id="rId1" xr:uid="{8ED65856-0D91-4D3D-A0AC-E603C81CC79E}"/>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ADCC3-98CB-4979-B582-2523A0CAB799}">
  <dimension ref="B3:B5"/>
  <sheetViews>
    <sheetView workbookViewId="0">
      <selection activeCell="J13" sqref="J13"/>
    </sheetView>
  </sheetViews>
  <sheetFormatPr defaultRowHeight="14.4" x14ac:dyDescent="0.3"/>
  <sheetData>
    <row r="3" spans="2:2" x14ac:dyDescent="0.3">
      <c r="B3" t="s">
        <v>538</v>
      </c>
    </row>
    <row r="4" spans="2:2" x14ac:dyDescent="0.3">
      <c r="B4" t="s">
        <v>539</v>
      </c>
    </row>
    <row r="5" spans="2:2" x14ac:dyDescent="0.3">
      <c r="B5" t="s">
        <v>540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14308-55B5-4BEB-877B-F238CBF76B24}">
  <dimension ref="B1:J55"/>
  <sheetViews>
    <sheetView workbookViewId="0">
      <selection activeCell="N15" sqref="N15"/>
    </sheetView>
  </sheetViews>
  <sheetFormatPr defaultRowHeight="14.4" x14ac:dyDescent="0.3"/>
  <cols>
    <col min="2" max="2" width="11.109375" customWidth="1"/>
    <col min="3" max="3" width="17.5546875" customWidth="1"/>
    <col min="4" max="4" width="13.21875" customWidth="1"/>
    <col min="5" max="5" width="17.33203125" customWidth="1"/>
    <col min="7" max="7" width="18.5546875" customWidth="1"/>
    <col min="8" max="8" width="22.33203125" customWidth="1"/>
  </cols>
  <sheetData>
    <row r="1" spans="2:10" x14ac:dyDescent="0.3">
      <c r="B1" t="s">
        <v>535</v>
      </c>
    </row>
    <row r="2" spans="2:10" x14ac:dyDescent="0.3">
      <c r="C2" t="s">
        <v>369</v>
      </c>
      <c r="J2" t="s">
        <v>445</v>
      </c>
    </row>
    <row r="3" spans="2:10" x14ac:dyDescent="0.3">
      <c r="C3" t="s">
        <v>386</v>
      </c>
      <c r="F3" t="s">
        <v>451</v>
      </c>
    </row>
    <row r="4" spans="2:10" s="12" customFormat="1" ht="28.8" x14ac:dyDescent="0.3">
      <c r="C4" s="12" t="s">
        <v>388</v>
      </c>
      <c r="D4" s="12" t="s">
        <v>446</v>
      </c>
      <c r="E4" s="12" t="s">
        <v>447</v>
      </c>
      <c r="F4" s="12" t="s">
        <v>448</v>
      </c>
      <c r="G4" s="12" t="s">
        <v>449</v>
      </c>
      <c r="H4" s="12" t="s">
        <v>450</v>
      </c>
    </row>
    <row r="5" spans="2:10" x14ac:dyDescent="0.3">
      <c r="B5" s="116" t="s">
        <v>9</v>
      </c>
      <c r="C5" s="64">
        <f>$C$55*'percent of gdp'!G5</f>
        <v>124072.76200000002</v>
      </c>
      <c r="D5">
        <f t="shared" ref="D5:D54" si="0">C5*10^3</f>
        <v>124072762.00000001</v>
      </c>
      <c r="E5">
        <f>1.3*33.41*D5</f>
        <v>5388852271.9460011</v>
      </c>
      <c r="F5" s="64">
        <f>E5/8760</f>
        <v>615165.7844687216</v>
      </c>
      <c r="G5" s="129">
        <f>(F5*3*'Cost Data'!$C$4)+(F5*'Cost Data'!$C$5)+(F5*'Cost Data'!$C$6)</f>
        <v>4616204046.653286</v>
      </c>
      <c r="H5">
        <f>F5*'Cost Data'!$C$7</f>
        <v>1582206397.6535521</v>
      </c>
    </row>
    <row r="6" spans="2:10" x14ac:dyDescent="0.3">
      <c r="B6" s="116" t="s">
        <v>10</v>
      </c>
      <c r="C6" s="64">
        <f>$C$55*'percent of gdp'!G6</f>
        <v>33838.025999999998</v>
      </c>
      <c r="D6">
        <f t="shared" si="0"/>
        <v>33838026</v>
      </c>
      <c r="E6">
        <f t="shared" ref="E6:E54" si="1">1.3*33.41*D6</f>
        <v>1469686983.2579999</v>
      </c>
      <c r="F6" s="64">
        <f t="shared" ref="F6:F54" si="2">E6/8760</f>
        <v>167772.48667328767</v>
      </c>
      <c r="G6" s="129">
        <f>(F6*3*'Cost Data'!$C$4)+(F6*'Cost Data'!$C$5)+(F6*'Cost Data'!$C$6)</f>
        <v>1258964739.9963505</v>
      </c>
      <c r="H6" s="64">
        <f>F6*'Cost Data'!$C$7</f>
        <v>431510835.72369587</v>
      </c>
    </row>
    <row r="7" spans="2:10" x14ac:dyDescent="0.3">
      <c r="B7" s="116" t="s">
        <v>11</v>
      </c>
      <c r="C7" s="64">
        <f>$C$55*'percent of gdp'!G7</f>
        <v>191748.81400000001</v>
      </c>
      <c r="D7">
        <f t="shared" si="0"/>
        <v>191748814</v>
      </c>
      <c r="E7">
        <f t="shared" si="1"/>
        <v>8328226238.4619999</v>
      </c>
      <c r="F7" s="64">
        <f t="shared" si="2"/>
        <v>950710.75781529676</v>
      </c>
      <c r="G7" s="129">
        <f>(F7*3*'Cost Data'!$C$4)+(F7*'Cost Data'!$C$5)+(F7*'Cost Data'!$C$6)</f>
        <v>7134133526.6459866</v>
      </c>
      <c r="H7" s="64">
        <f>F7*'Cost Data'!$C$7</f>
        <v>2445228069.1009431</v>
      </c>
    </row>
    <row r="8" spans="2:10" x14ac:dyDescent="0.3">
      <c r="B8" s="116" t="s">
        <v>12</v>
      </c>
      <c r="C8" s="64">
        <f>$C$55*'percent of gdp'!G8</f>
        <v>67676.051999999996</v>
      </c>
      <c r="D8">
        <f t="shared" si="0"/>
        <v>67676052</v>
      </c>
      <c r="E8">
        <f t="shared" si="1"/>
        <v>2939373966.5159998</v>
      </c>
      <c r="F8" s="64">
        <f t="shared" si="2"/>
        <v>335544.97334657534</v>
      </c>
      <c r="G8" s="129">
        <f>(F8*3*'Cost Data'!$C$4)+(F8*'Cost Data'!$C$5)+(F8*'Cost Data'!$C$6)</f>
        <v>2517929479.9927011</v>
      </c>
      <c r="H8" s="64">
        <f>F8*'Cost Data'!$C$7</f>
        <v>863021671.44739175</v>
      </c>
    </row>
    <row r="9" spans="2:10" x14ac:dyDescent="0.3">
      <c r="B9" s="116" t="s">
        <v>13</v>
      </c>
      <c r="C9" s="64">
        <f>$C$55*'percent of gdp'!G9</f>
        <v>1635504.5899999999</v>
      </c>
      <c r="D9">
        <f t="shared" si="0"/>
        <v>1635504589.9999998</v>
      </c>
      <c r="E9">
        <f t="shared" si="1"/>
        <v>71034870857.469986</v>
      </c>
      <c r="F9" s="64">
        <f t="shared" si="2"/>
        <v>8109003.5225422354</v>
      </c>
      <c r="G9" s="129">
        <f>(F9*3*'Cost Data'!$C$4)+(F9*'Cost Data'!$C$5)+(F9*'Cost Data'!$C$6)</f>
        <v>60849962433.156929</v>
      </c>
      <c r="H9" s="64">
        <f>F9*'Cost Data'!$C$7</f>
        <v>20856357059.97863</v>
      </c>
    </row>
    <row r="10" spans="2:10" x14ac:dyDescent="0.3">
      <c r="B10" s="116" t="s">
        <v>14</v>
      </c>
      <c r="C10" s="64">
        <f>$C$55*'percent of gdp'!G10</f>
        <v>203028.15600000002</v>
      </c>
      <c r="D10">
        <f t="shared" si="0"/>
        <v>203028156.00000003</v>
      </c>
      <c r="E10">
        <f t="shared" si="1"/>
        <v>8818121899.5480003</v>
      </c>
      <c r="F10" s="64">
        <f t="shared" si="2"/>
        <v>1006634.9200397261</v>
      </c>
      <c r="G10" s="129">
        <f>(F10*3*'Cost Data'!$C$4)+(F10*'Cost Data'!$C$5)+(F10*'Cost Data'!$C$6)</f>
        <v>7553788439.9781036</v>
      </c>
      <c r="H10" s="64">
        <f>F10*'Cost Data'!$C$7</f>
        <v>2589065014.3421755</v>
      </c>
    </row>
    <row r="11" spans="2:10" x14ac:dyDescent="0.3">
      <c r="B11" s="116" t="s">
        <v>15</v>
      </c>
      <c r="C11" s="64">
        <f>$C$55*'percent of gdp'!G11</f>
        <v>146631.44600000003</v>
      </c>
      <c r="D11">
        <f t="shared" si="0"/>
        <v>146631446.00000003</v>
      </c>
      <c r="E11">
        <f t="shared" si="1"/>
        <v>6368643594.118001</v>
      </c>
      <c r="F11" s="64">
        <f t="shared" si="2"/>
        <v>727014.10891757999</v>
      </c>
      <c r="G11" s="129">
        <f>(F11*3*'Cost Data'!$C$4)+(F11*'Cost Data'!$C$5)+(F11*'Cost Data'!$C$6)</f>
        <v>5455513873.3175201</v>
      </c>
      <c r="H11" s="64">
        <f>F11*'Cost Data'!$C$7</f>
        <v>1869880288.1360157</v>
      </c>
    </row>
    <row r="12" spans="2:10" x14ac:dyDescent="0.3">
      <c r="B12" s="116" t="s">
        <v>16</v>
      </c>
      <c r="C12" s="64">
        <f>$C$55*'percent of gdp'!G12</f>
        <v>45117.368000000002</v>
      </c>
      <c r="D12">
        <f t="shared" si="0"/>
        <v>45117368</v>
      </c>
      <c r="E12">
        <f t="shared" si="1"/>
        <v>1959582644.3440001</v>
      </c>
      <c r="F12" s="64">
        <f t="shared" si="2"/>
        <v>223696.64889771692</v>
      </c>
      <c r="G12" s="129">
        <f>(F12*3*'Cost Data'!$C$4)+(F12*'Cost Data'!$C$5)+(F12*'Cost Data'!$C$6)</f>
        <v>1678619653.3284678</v>
      </c>
      <c r="H12" s="64">
        <f>F12*'Cost Data'!$C$7</f>
        <v>575347780.96492791</v>
      </c>
    </row>
    <row r="13" spans="2:10" x14ac:dyDescent="0.3">
      <c r="B13" s="116" t="s">
        <v>17</v>
      </c>
      <c r="C13" s="64">
        <f>$C$55*'percent of gdp'!G13</f>
        <v>575246.44199999992</v>
      </c>
      <c r="D13">
        <f t="shared" si="0"/>
        <v>575246441.99999988</v>
      </c>
      <c r="E13">
        <f t="shared" si="1"/>
        <v>24984678715.385994</v>
      </c>
      <c r="F13" s="64">
        <f t="shared" si="2"/>
        <v>2852132.2734458898</v>
      </c>
      <c r="G13" s="129">
        <f>(F13*3*'Cost Data'!$C$4)+(F13*'Cost Data'!$C$5)+(F13*'Cost Data'!$C$6)</f>
        <v>21402400579.937958</v>
      </c>
      <c r="H13" s="64">
        <f>F13*'Cost Data'!$C$7</f>
        <v>7335684207.3028288</v>
      </c>
    </row>
    <row r="14" spans="2:10" x14ac:dyDescent="0.3">
      <c r="B14" s="116" t="s">
        <v>18</v>
      </c>
      <c r="C14" s="64">
        <f>$C$55*'percent of gdp'!G14</f>
        <v>327100.91800000001</v>
      </c>
      <c r="D14">
        <f t="shared" si="0"/>
        <v>327100918</v>
      </c>
      <c r="E14">
        <f t="shared" si="1"/>
        <v>14206974171.493999</v>
      </c>
      <c r="F14" s="64">
        <f t="shared" si="2"/>
        <v>1621800.7045084473</v>
      </c>
      <c r="G14" s="129">
        <f>(F14*3*'Cost Data'!$C$4)+(F14*'Cost Data'!$C$5)+(F14*'Cost Data'!$C$6)</f>
        <v>12169992486.63139</v>
      </c>
      <c r="H14" s="64">
        <f>F14*'Cost Data'!$C$7</f>
        <v>4171271411.9957266</v>
      </c>
    </row>
    <row r="15" spans="2:10" x14ac:dyDescent="0.3">
      <c r="B15" s="116" t="s">
        <v>19</v>
      </c>
      <c r="C15" s="64">
        <f>$C$55*'percent of gdp'!G15</f>
        <v>45117.368000000002</v>
      </c>
      <c r="D15">
        <f t="shared" si="0"/>
        <v>45117368</v>
      </c>
      <c r="E15">
        <f t="shared" si="1"/>
        <v>1959582644.3440001</v>
      </c>
      <c r="F15" s="64">
        <f t="shared" si="2"/>
        <v>223696.64889771692</v>
      </c>
      <c r="G15" s="129">
        <f>(F15*3*'Cost Data'!$C$4)+(F15*'Cost Data'!$C$5)+(F15*'Cost Data'!$C$6)</f>
        <v>1678619653.3284678</v>
      </c>
      <c r="H15" s="64">
        <f>F15*'Cost Data'!$C$7</f>
        <v>575347780.96492791</v>
      </c>
    </row>
    <row r="16" spans="2:10" x14ac:dyDescent="0.3">
      <c r="B16" s="116" t="s">
        <v>20</v>
      </c>
      <c r="C16" s="64">
        <f>$C$55*'percent of gdp'!G16</f>
        <v>45117.368000000002</v>
      </c>
      <c r="D16">
        <f t="shared" si="0"/>
        <v>45117368</v>
      </c>
      <c r="E16">
        <f t="shared" si="1"/>
        <v>1959582644.3440001</v>
      </c>
      <c r="F16" s="64">
        <f t="shared" si="2"/>
        <v>223696.64889771692</v>
      </c>
      <c r="G16" s="129">
        <f>(F16*3*'Cost Data'!$C$4)+(F16*'Cost Data'!$C$5)+(F16*'Cost Data'!$C$6)</f>
        <v>1678619653.3284678</v>
      </c>
      <c r="H16" s="64">
        <f>F16*'Cost Data'!$C$7</f>
        <v>575347780.96492791</v>
      </c>
    </row>
    <row r="17" spans="2:8" x14ac:dyDescent="0.3">
      <c r="B17" s="116" t="s">
        <v>21</v>
      </c>
      <c r="C17" s="64">
        <f>$C$55*'percent of gdp'!G17</f>
        <v>473732.364</v>
      </c>
      <c r="D17">
        <f t="shared" si="0"/>
        <v>473732364</v>
      </c>
      <c r="E17">
        <f t="shared" si="1"/>
        <v>20575617765.612</v>
      </c>
      <c r="F17" s="64">
        <f t="shared" si="2"/>
        <v>2348814.8134260275</v>
      </c>
      <c r="G17" s="129">
        <f>(F17*3*'Cost Data'!$C$4)+(F17*'Cost Data'!$C$5)+(F17*'Cost Data'!$C$6)</f>
        <v>17625506359.94891</v>
      </c>
      <c r="H17" s="64">
        <f>F17*'Cost Data'!$C$7</f>
        <v>6041151700.1317425</v>
      </c>
    </row>
    <row r="18" spans="2:8" x14ac:dyDescent="0.3">
      <c r="B18" s="116" t="s">
        <v>22</v>
      </c>
      <c r="C18" s="64">
        <f>$C$55*'percent of gdp'!G18</f>
        <v>203028.15600000002</v>
      </c>
      <c r="D18">
        <f t="shared" si="0"/>
        <v>203028156.00000003</v>
      </c>
      <c r="E18">
        <f t="shared" si="1"/>
        <v>8818121899.5480003</v>
      </c>
      <c r="F18" s="64">
        <f t="shared" si="2"/>
        <v>1006634.9200397261</v>
      </c>
      <c r="G18" s="129">
        <f>(F18*3*'Cost Data'!$C$4)+(F18*'Cost Data'!$C$5)+(F18*'Cost Data'!$C$6)</f>
        <v>7553788439.9781036</v>
      </c>
      <c r="H18" s="64">
        <f>F18*'Cost Data'!$C$7</f>
        <v>2589065014.3421755</v>
      </c>
    </row>
    <row r="19" spans="2:8" x14ac:dyDescent="0.3">
      <c r="B19" s="116" t="s">
        <v>23</v>
      </c>
      <c r="C19" s="64">
        <f>$C$55*'percent of gdp'!G19</f>
        <v>101514.07800000001</v>
      </c>
      <c r="D19">
        <f t="shared" si="0"/>
        <v>101514078.00000001</v>
      </c>
      <c r="E19">
        <f t="shared" si="1"/>
        <v>4409060949.7740002</v>
      </c>
      <c r="F19" s="64">
        <f t="shared" si="2"/>
        <v>503317.46001986304</v>
      </c>
      <c r="G19" s="129">
        <f>(F19*3*'Cost Data'!$C$4)+(F19*'Cost Data'!$C$5)+(F19*'Cost Data'!$C$6)</f>
        <v>3776894219.9890518</v>
      </c>
      <c r="H19" s="64">
        <f>F19*'Cost Data'!$C$7</f>
        <v>1294532507.1710877</v>
      </c>
    </row>
    <row r="20" spans="2:8" x14ac:dyDescent="0.3">
      <c r="B20" s="116" t="s">
        <v>24</v>
      </c>
      <c r="C20" s="64">
        <f>$C$55*'percent of gdp'!G20</f>
        <v>90234.736000000004</v>
      </c>
      <c r="D20">
        <f t="shared" si="0"/>
        <v>90234736</v>
      </c>
      <c r="E20">
        <f t="shared" si="1"/>
        <v>3919165288.6880002</v>
      </c>
      <c r="F20" s="64">
        <f t="shared" si="2"/>
        <v>447393.29779543384</v>
      </c>
      <c r="G20" s="129">
        <f>(F20*3*'Cost Data'!$C$4)+(F20*'Cost Data'!$C$5)+(F20*'Cost Data'!$C$6)</f>
        <v>3357239306.6569357</v>
      </c>
      <c r="H20" s="64">
        <f>F20*'Cost Data'!$C$7</f>
        <v>1150695561.9298558</v>
      </c>
    </row>
    <row r="21" spans="2:8" x14ac:dyDescent="0.3">
      <c r="B21" s="116" t="s">
        <v>25</v>
      </c>
      <c r="C21" s="64">
        <f>$C$55*'percent of gdp'!G21</f>
        <v>112793.42</v>
      </c>
      <c r="D21">
        <f t="shared" si="0"/>
        <v>112793420</v>
      </c>
      <c r="E21">
        <f t="shared" si="1"/>
        <v>4898956610.8599997</v>
      </c>
      <c r="F21" s="64">
        <f t="shared" si="2"/>
        <v>559241.62224429217</v>
      </c>
      <c r="G21" s="129">
        <f>(F21*3*'Cost Data'!$C$4)+(F21*'Cost Data'!$C$5)+(F21*'Cost Data'!$C$6)</f>
        <v>4196549133.3211684</v>
      </c>
      <c r="H21" s="64">
        <f>F21*'Cost Data'!$C$7</f>
        <v>1438369452.4123194</v>
      </c>
    </row>
    <row r="22" spans="2:8" x14ac:dyDescent="0.3">
      <c r="B22" s="116" t="s">
        <v>26</v>
      </c>
      <c r="C22" s="64">
        <f>$C$55*'percent of gdp'!G22</f>
        <v>135352.10399999999</v>
      </c>
      <c r="D22">
        <f t="shared" si="0"/>
        <v>135352104</v>
      </c>
      <c r="E22">
        <f t="shared" si="1"/>
        <v>5878747933.0319996</v>
      </c>
      <c r="F22" s="64">
        <f t="shared" si="2"/>
        <v>671089.94669315068</v>
      </c>
      <c r="G22" s="129">
        <f>(F22*3*'Cost Data'!$C$4)+(F22*'Cost Data'!$C$5)+(F22*'Cost Data'!$C$6)</f>
        <v>5035858959.9854021</v>
      </c>
      <c r="H22" s="64">
        <f>F22*'Cost Data'!$C$7</f>
        <v>1726043342.8947835</v>
      </c>
    </row>
    <row r="23" spans="2:8" x14ac:dyDescent="0.3">
      <c r="B23" s="116" t="s">
        <v>27</v>
      </c>
      <c r="C23" s="64">
        <f>$C$55*'percent of gdp'!G23</f>
        <v>33838.025999999998</v>
      </c>
      <c r="D23">
        <f t="shared" si="0"/>
        <v>33838026</v>
      </c>
      <c r="E23">
        <f t="shared" si="1"/>
        <v>1469686983.2579999</v>
      </c>
      <c r="F23" s="64">
        <f t="shared" si="2"/>
        <v>167772.48667328767</v>
      </c>
      <c r="G23" s="129">
        <f>(F23*3*'Cost Data'!$C$4)+(F23*'Cost Data'!$C$5)+(F23*'Cost Data'!$C$6)</f>
        <v>1258964739.9963505</v>
      </c>
      <c r="H23" s="64">
        <f>F23*'Cost Data'!$C$7</f>
        <v>431510835.72369587</v>
      </c>
    </row>
    <row r="24" spans="2:8" x14ac:dyDescent="0.3">
      <c r="B24" s="116" t="s">
        <v>28</v>
      </c>
      <c r="C24" s="64">
        <f>$C$55*'percent of gdp'!G24</f>
        <v>225586.84</v>
      </c>
      <c r="D24">
        <f t="shared" si="0"/>
        <v>225586840</v>
      </c>
      <c r="E24">
        <f t="shared" si="1"/>
        <v>9797913221.7199993</v>
      </c>
      <c r="F24" s="64">
        <f t="shared" si="2"/>
        <v>1118483.2444885843</v>
      </c>
      <c r="G24" s="129">
        <f>(F24*3*'Cost Data'!$C$4)+(F24*'Cost Data'!$C$5)+(F24*'Cost Data'!$C$6)</f>
        <v>8393098266.6423368</v>
      </c>
      <c r="H24" s="64">
        <f>F24*'Cost Data'!$C$7</f>
        <v>2876738904.8246388</v>
      </c>
    </row>
    <row r="25" spans="2:8" x14ac:dyDescent="0.3">
      <c r="B25" s="116" t="s">
        <v>29</v>
      </c>
      <c r="C25" s="64">
        <f>$C$55*'percent of gdp'!G25</f>
        <v>315821.57599999994</v>
      </c>
      <c r="D25">
        <f t="shared" si="0"/>
        <v>315821575.99999994</v>
      </c>
      <c r="E25">
        <f t="shared" si="1"/>
        <v>13717078510.407997</v>
      </c>
      <c r="F25" s="64">
        <f t="shared" si="2"/>
        <v>1565876.5422840179</v>
      </c>
      <c r="G25" s="129">
        <f>(F25*3*'Cost Data'!$C$4)+(F25*'Cost Data'!$C$5)+(F25*'Cost Data'!$C$6)</f>
        <v>11750337573.299271</v>
      </c>
      <c r="H25" s="64">
        <f>F25*'Cost Data'!$C$7</f>
        <v>4027434466.7544942</v>
      </c>
    </row>
    <row r="26" spans="2:8" x14ac:dyDescent="0.3">
      <c r="B26" s="116" t="s">
        <v>30</v>
      </c>
      <c r="C26" s="64">
        <f>$C$55*'percent of gdp'!G26</f>
        <v>293262.89200000005</v>
      </c>
      <c r="D26">
        <f t="shared" si="0"/>
        <v>293262892.00000006</v>
      </c>
      <c r="E26">
        <f t="shared" si="1"/>
        <v>12737287188.236002</v>
      </c>
      <c r="F26" s="64">
        <f t="shared" si="2"/>
        <v>1454028.21783516</v>
      </c>
      <c r="G26" s="129">
        <f>(F26*3*'Cost Data'!$C$4)+(F26*'Cost Data'!$C$5)+(F26*'Cost Data'!$C$6)</f>
        <v>10911027746.63504</v>
      </c>
      <c r="H26" s="64">
        <f>F26*'Cost Data'!$C$7</f>
        <v>3739760576.2720313</v>
      </c>
    </row>
    <row r="27" spans="2:8" x14ac:dyDescent="0.3">
      <c r="B27" s="116" t="s">
        <v>31</v>
      </c>
      <c r="C27" s="64">
        <f>$C$55*'percent of gdp'!G27</f>
        <v>203028.15600000002</v>
      </c>
      <c r="D27">
        <f t="shared" si="0"/>
        <v>203028156.00000003</v>
      </c>
      <c r="E27">
        <f t="shared" si="1"/>
        <v>8818121899.5480003</v>
      </c>
      <c r="F27" s="64">
        <f t="shared" si="2"/>
        <v>1006634.9200397261</v>
      </c>
      <c r="G27" s="129">
        <f>(F27*3*'Cost Data'!$C$4)+(F27*'Cost Data'!$C$5)+(F27*'Cost Data'!$C$6)</f>
        <v>7553788439.9781036</v>
      </c>
      <c r="H27" s="64">
        <f>F27*'Cost Data'!$C$7</f>
        <v>2589065014.3421755</v>
      </c>
    </row>
    <row r="28" spans="2:8" x14ac:dyDescent="0.3">
      <c r="B28" s="116" t="s">
        <v>32</v>
      </c>
      <c r="C28" s="64">
        <f>$C$55*'percent of gdp'!G28</f>
        <v>67676.051999999996</v>
      </c>
      <c r="D28">
        <f t="shared" si="0"/>
        <v>67676052</v>
      </c>
      <c r="E28">
        <f t="shared" si="1"/>
        <v>2939373966.5159998</v>
      </c>
      <c r="F28" s="64">
        <f t="shared" si="2"/>
        <v>335544.97334657534</v>
      </c>
      <c r="G28" s="129">
        <f>(F28*3*'Cost Data'!$C$4)+(F28*'Cost Data'!$C$5)+(F28*'Cost Data'!$C$6)</f>
        <v>2517929479.9927011</v>
      </c>
      <c r="H28" s="64">
        <f>F28*'Cost Data'!$C$7</f>
        <v>863021671.44739175</v>
      </c>
    </row>
    <row r="29" spans="2:8" x14ac:dyDescent="0.3">
      <c r="B29" s="116" t="s">
        <v>33</v>
      </c>
      <c r="C29" s="64">
        <f>$C$55*'percent of gdp'!G29</f>
        <v>169190.13</v>
      </c>
      <c r="D29">
        <f t="shared" si="0"/>
        <v>169190130</v>
      </c>
      <c r="E29">
        <f t="shared" si="1"/>
        <v>7348434916.29</v>
      </c>
      <c r="F29" s="64">
        <f t="shared" si="2"/>
        <v>838862.43336643837</v>
      </c>
      <c r="G29" s="129">
        <f>(F29*3*'Cost Data'!$C$4)+(F29*'Cost Data'!$C$5)+(F29*'Cost Data'!$C$6)</f>
        <v>6294823699.9817543</v>
      </c>
      <c r="H29" s="64">
        <f>F29*'Cost Data'!$C$7</f>
        <v>2157554178.6184797</v>
      </c>
    </row>
    <row r="30" spans="2:8" x14ac:dyDescent="0.3">
      <c r="B30" s="116" t="s">
        <v>34</v>
      </c>
      <c r="C30" s="64">
        <f>$C$55*'percent of gdp'!G30</f>
        <v>22558.684000000001</v>
      </c>
      <c r="D30">
        <f t="shared" si="0"/>
        <v>22558684</v>
      </c>
      <c r="E30">
        <f t="shared" si="1"/>
        <v>979791322.17200005</v>
      </c>
      <c r="F30" s="64">
        <f t="shared" si="2"/>
        <v>111848.32444885846</v>
      </c>
      <c r="G30" s="129">
        <f>(F30*3*'Cost Data'!$C$4)+(F30*'Cost Data'!$C$5)+(F30*'Cost Data'!$C$6)</f>
        <v>839309826.66423392</v>
      </c>
      <c r="H30" s="64">
        <f>F30*'Cost Data'!$C$7</f>
        <v>287673890.48246396</v>
      </c>
    </row>
    <row r="31" spans="2:8" x14ac:dyDescent="0.3">
      <c r="B31" s="116" t="s">
        <v>35</v>
      </c>
      <c r="C31" s="64">
        <f>$C$55*'percent of gdp'!G31</f>
        <v>67676.051999999996</v>
      </c>
      <c r="D31">
        <f t="shared" si="0"/>
        <v>67676052</v>
      </c>
      <c r="E31">
        <f t="shared" si="1"/>
        <v>2939373966.5159998</v>
      </c>
      <c r="F31" s="64">
        <f t="shared" si="2"/>
        <v>335544.97334657534</v>
      </c>
      <c r="G31" s="129">
        <f>(F31*3*'Cost Data'!$C$4)+(F31*'Cost Data'!$C$5)+(F31*'Cost Data'!$C$6)</f>
        <v>2517929479.9927011</v>
      </c>
      <c r="H31" s="64">
        <f>F31*'Cost Data'!$C$7</f>
        <v>863021671.44739175</v>
      </c>
    </row>
    <row r="32" spans="2:8" x14ac:dyDescent="0.3">
      <c r="B32" s="116" t="s">
        <v>36</v>
      </c>
      <c r="C32" s="64">
        <f>$C$55*'percent of gdp'!G32</f>
        <v>90234.736000000004</v>
      </c>
      <c r="D32">
        <f t="shared" si="0"/>
        <v>90234736</v>
      </c>
      <c r="E32">
        <f t="shared" si="1"/>
        <v>3919165288.6880002</v>
      </c>
      <c r="F32" s="64">
        <f t="shared" si="2"/>
        <v>447393.29779543384</v>
      </c>
      <c r="G32" s="129">
        <f>(F32*3*'Cost Data'!$C$4)+(F32*'Cost Data'!$C$5)+(F32*'Cost Data'!$C$6)</f>
        <v>3357239306.6569357</v>
      </c>
      <c r="H32" s="64">
        <f>F32*'Cost Data'!$C$7</f>
        <v>1150695561.9298558</v>
      </c>
    </row>
    <row r="33" spans="2:8" ht="24.6" x14ac:dyDescent="0.3">
      <c r="B33" s="116" t="s">
        <v>37</v>
      </c>
      <c r="C33" s="64">
        <f>$C$55*'percent of gdp'!G33</f>
        <v>45117.368000000002</v>
      </c>
      <c r="D33">
        <f t="shared" si="0"/>
        <v>45117368</v>
      </c>
      <c r="E33">
        <f t="shared" si="1"/>
        <v>1959582644.3440001</v>
      </c>
      <c r="F33" s="64">
        <f t="shared" si="2"/>
        <v>223696.64889771692</v>
      </c>
      <c r="G33" s="129">
        <f>(F33*3*'Cost Data'!$C$4)+(F33*'Cost Data'!$C$5)+(F33*'Cost Data'!$C$6)</f>
        <v>1678619653.3284678</v>
      </c>
      <c r="H33" s="64">
        <f>F33*'Cost Data'!$C$7</f>
        <v>575347780.96492791</v>
      </c>
    </row>
    <row r="34" spans="2:8" x14ac:dyDescent="0.3">
      <c r="B34" s="116" t="s">
        <v>38</v>
      </c>
      <c r="C34" s="64">
        <f>$C$55*'percent of gdp'!G34</f>
        <v>338380.26</v>
      </c>
      <c r="D34">
        <f t="shared" si="0"/>
        <v>338380260</v>
      </c>
      <c r="E34">
        <f t="shared" si="1"/>
        <v>14696869832.58</v>
      </c>
      <c r="F34" s="64">
        <f t="shared" si="2"/>
        <v>1677724.8667328767</v>
      </c>
      <c r="G34" s="129">
        <f>(F34*3*'Cost Data'!$C$4)+(F34*'Cost Data'!$C$5)+(F34*'Cost Data'!$C$6)</f>
        <v>12589647399.963509</v>
      </c>
      <c r="H34" s="64">
        <f>F34*'Cost Data'!$C$7</f>
        <v>4315108357.2369595</v>
      </c>
    </row>
    <row r="35" spans="2:8" x14ac:dyDescent="0.3">
      <c r="B35" s="116" t="s">
        <v>39</v>
      </c>
      <c r="C35" s="64">
        <f>$C$55*'percent of gdp'!G35</f>
        <v>56396.71</v>
      </c>
      <c r="D35">
        <f t="shared" si="0"/>
        <v>56396710</v>
      </c>
      <c r="E35">
        <f t="shared" si="1"/>
        <v>2449478305.4299998</v>
      </c>
      <c r="F35" s="64">
        <f t="shared" si="2"/>
        <v>279620.81112214609</v>
      </c>
      <c r="G35" s="129">
        <f>(F35*3*'Cost Data'!$C$4)+(F35*'Cost Data'!$C$5)+(F35*'Cost Data'!$C$6)</f>
        <v>2098274566.6605842</v>
      </c>
      <c r="H35" s="64">
        <f>F35*'Cost Data'!$C$7</f>
        <v>719184726.20615971</v>
      </c>
    </row>
    <row r="36" spans="2:8" x14ac:dyDescent="0.3">
      <c r="B36" s="116" t="s">
        <v>40</v>
      </c>
      <c r="C36" s="64">
        <f>$C$55*'percent of gdp'!G36</f>
        <v>924906.04399999988</v>
      </c>
      <c r="D36">
        <f t="shared" si="0"/>
        <v>924906043.99999988</v>
      </c>
      <c r="E36">
        <f t="shared" si="1"/>
        <v>40171444209.051994</v>
      </c>
      <c r="F36" s="64">
        <f t="shared" si="2"/>
        <v>4585781.3024031958</v>
      </c>
      <c r="G36" s="129">
        <f>(F36*3*'Cost Data'!$C$4)+(F36*'Cost Data'!$C$5)+(F36*'Cost Data'!$C$6)</f>
        <v>34411702893.233574</v>
      </c>
      <c r="H36" s="64">
        <f>F36*'Cost Data'!$C$7</f>
        <v>11794629509.781019</v>
      </c>
    </row>
    <row r="37" spans="2:8" x14ac:dyDescent="0.3">
      <c r="B37" s="116" t="s">
        <v>41</v>
      </c>
      <c r="C37" s="64">
        <f>$C$55*'percent of gdp'!G37</f>
        <v>315821.57599999994</v>
      </c>
      <c r="D37">
        <f t="shared" si="0"/>
        <v>315821575.99999994</v>
      </c>
      <c r="E37">
        <f t="shared" si="1"/>
        <v>13717078510.407997</v>
      </c>
      <c r="F37" s="64">
        <f t="shared" si="2"/>
        <v>1565876.5422840179</v>
      </c>
      <c r="G37" s="129">
        <f>(F37*3*'Cost Data'!$C$4)+(F37*'Cost Data'!$C$5)+(F37*'Cost Data'!$C$6)</f>
        <v>11750337573.299271</v>
      </c>
      <c r="H37" s="64">
        <f>F37*'Cost Data'!$C$7</f>
        <v>4027434466.7544942</v>
      </c>
    </row>
    <row r="38" spans="2:8" x14ac:dyDescent="0.3">
      <c r="B38" s="116" t="s">
        <v>42</v>
      </c>
      <c r="C38" s="64">
        <f>$C$55*'percent of gdp'!G38</f>
        <v>33838.025999999998</v>
      </c>
      <c r="D38">
        <f t="shared" si="0"/>
        <v>33838026</v>
      </c>
      <c r="E38">
        <f t="shared" si="1"/>
        <v>1469686983.2579999</v>
      </c>
      <c r="F38" s="64">
        <f t="shared" si="2"/>
        <v>167772.48667328767</v>
      </c>
      <c r="G38" s="129">
        <f>(F38*3*'Cost Data'!$C$4)+(F38*'Cost Data'!$C$5)+(F38*'Cost Data'!$C$6)</f>
        <v>1258964739.9963505</v>
      </c>
      <c r="H38" s="64">
        <f>F38*'Cost Data'!$C$7</f>
        <v>431510835.72369587</v>
      </c>
    </row>
    <row r="39" spans="2:8" x14ac:dyDescent="0.3">
      <c r="B39" s="116" t="s">
        <v>43</v>
      </c>
      <c r="C39" s="64">
        <f>$C$55*'percent of gdp'!G39</f>
        <v>372218.28600000002</v>
      </c>
      <c r="D39">
        <f t="shared" si="0"/>
        <v>372218286</v>
      </c>
      <c r="E39">
        <f t="shared" si="1"/>
        <v>16166556815.837999</v>
      </c>
      <c r="F39" s="64">
        <f t="shared" si="2"/>
        <v>1845497.3534061643</v>
      </c>
      <c r="G39" s="129">
        <f>(F39*3*'Cost Data'!$C$4)+(F39*'Cost Data'!$C$5)+(F39*'Cost Data'!$C$6)</f>
        <v>13848612139.959858</v>
      </c>
      <c r="H39" s="64">
        <f>F39*'Cost Data'!$C$7</f>
        <v>4746619192.9606543</v>
      </c>
    </row>
    <row r="40" spans="2:8" x14ac:dyDescent="0.3">
      <c r="B40" s="116" t="s">
        <v>44</v>
      </c>
      <c r="C40" s="64">
        <f>$C$55*'percent of gdp'!G40</f>
        <v>112793.42</v>
      </c>
      <c r="D40">
        <f t="shared" si="0"/>
        <v>112793420</v>
      </c>
      <c r="E40">
        <f t="shared" si="1"/>
        <v>4898956610.8599997</v>
      </c>
      <c r="F40" s="64">
        <f t="shared" si="2"/>
        <v>559241.62224429217</v>
      </c>
      <c r="G40" s="129">
        <f>(F40*3*'Cost Data'!$C$4)+(F40*'Cost Data'!$C$5)+(F40*'Cost Data'!$C$6)</f>
        <v>4196549133.3211684</v>
      </c>
      <c r="H40" s="64">
        <f>F40*'Cost Data'!$C$7</f>
        <v>1438369452.4123194</v>
      </c>
    </row>
    <row r="41" spans="2:8" x14ac:dyDescent="0.3">
      <c r="B41" s="116" t="s">
        <v>45</v>
      </c>
      <c r="C41" s="64">
        <f>$C$55*'percent of gdp'!G41</f>
        <v>135352.10399999999</v>
      </c>
      <c r="D41">
        <f t="shared" si="0"/>
        <v>135352104</v>
      </c>
      <c r="E41">
        <f t="shared" si="1"/>
        <v>5878747933.0319996</v>
      </c>
      <c r="F41" s="64">
        <f t="shared" si="2"/>
        <v>671089.94669315068</v>
      </c>
      <c r="G41" s="129">
        <f>(F41*3*'Cost Data'!$C$4)+(F41*'Cost Data'!$C$5)+(F41*'Cost Data'!$C$6)</f>
        <v>5035858959.9854021</v>
      </c>
      <c r="H41" s="64">
        <f>F41*'Cost Data'!$C$7</f>
        <v>1726043342.8947835</v>
      </c>
    </row>
    <row r="42" spans="2:8" x14ac:dyDescent="0.3">
      <c r="B42" s="116" t="s">
        <v>46</v>
      </c>
      <c r="C42" s="64">
        <f>$C$55*'percent of gdp'!G42</f>
        <v>428614.99599999998</v>
      </c>
      <c r="D42">
        <f t="shared" si="0"/>
        <v>428614996</v>
      </c>
      <c r="E42">
        <f t="shared" si="1"/>
        <v>18616035121.268002</v>
      </c>
      <c r="F42" s="64">
        <f t="shared" si="2"/>
        <v>2125118.1645283108</v>
      </c>
      <c r="G42" s="129">
        <f>(F42*3*'Cost Data'!$C$4)+(F42*'Cost Data'!$C$5)+(F42*'Cost Data'!$C$6)</f>
        <v>15946886706.620443</v>
      </c>
      <c r="H42" s="64">
        <f>F42*'Cost Data'!$C$7</f>
        <v>5465803919.1668158</v>
      </c>
    </row>
    <row r="43" spans="2:8" x14ac:dyDescent="0.3">
      <c r="B43" s="116" t="s">
        <v>47</v>
      </c>
      <c r="C43" s="64">
        <f>$C$55*'percent of gdp'!G43</f>
        <v>33838.025999999998</v>
      </c>
      <c r="D43">
        <f t="shared" si="0"/>
        <v>33838026</v>
      </c>
      <c r="E43">
        <f t="shared" si="1"/>
        <v>1469686983.2579999</v>
      </c>
      <c r="F43" s="64">
        <f t="shared" si="2"/>
        <v>167772.48667328767</v>
      </c>
      <c r="G43" s="129">
        <f>(F43*3*'Cost Data'!$C$4)+(F43*'Cost Data'!$C$5)+(F43*'Cost Data'!$C$6)</f>
        <v>1258964739.9963505</v>
      </c>
      <c r="H43" s="64">
        <f>F43*'Cost Data'!$C$7</f>
        <v>431510835.72369587</v>
      </c>
    </row>
    <row r="44" spans="2:8" x14ac:dyDescent="0.3">
      <c r="B44" s="116" t="s">
        <v>48</v>
      </c>
      <c r="C44" s="64">
        <f>$C$55*'percent of gdp'!G44</f>
        <v>124072.76200000002</v>
      </c>
      <c r="D44">
        <f t="shared" si="0"/>
        <v>124072762.00000001</v>
      </c>
      <c r="E44">
        <f t="shared" si="1"/>
        <v>5388852271.9460011</v>
      </c>
      <c r="F44" s="64">
        <f t="shared" si="2"/>
        <v>615165.7844687216</v>
      </c>
      <c r="G44" s="129">
        <f>(F44*3*'Cost Data'!$C$4)+(F44*'Cost Data'!$C$5)+(F44*'Cost Data'!$C$6)</f>
        <v>4616204046.653286</v>
      </c>
      <c r="H44" s="64">
        <f>F44*'Cost Data'!$C$7</f>
        <v>1582206397.6535521</v>
      </c>
    </row>
    <row r="45" spans="2:8" x14ac:dyDescent="0.3">
      <c r="B45" s="116" t="s">
        <v>49</v>
      </c>
      <c r="C45" s="64">
        <f>$C$55*'percent of gdp'!G45</f>
        <v>33838.025999999998</v>
      </c>
      <c r="D45">
        <f t="shared" si="0"/>
        <v>33838026</v>
      </c>
      <c r="E45">
        <f t="shared" si="1"/>
        <v>1469686983.2579999</v>
      </c>
      <c r="F45" s="64">
        <f t="shared" si="2"/>
        <v>167772.48667328767</v>
      </c>
      <c r="G45" s="129">
        <f>(F45*3*'Cost Data'!$C$4)+(F45*'Cost Data'!$C$5)+(F45*'Cost Data'!$C$6)</f>
        <v>1258964739.9963505</v>
      </c>
      <c r="H45" s="64">
        <f>F45*'Cost Data'!$C$7</f>
        <v>431510835.72369587</v>
      </c>
    </row>
    <row r="46" spans="2:8" x14ac:dyDescent="0.3">
      <c r="B46" s="116" t="s">
        <v>50</v>
      </c>
      <c r="C46" s="64">
        <f>$C$55*'percent of gdp'!G46</f>
        <v>203028.15600000002</v>
      </c>
      <c r="D46">
        <f t="shared" si="0"/>
        <v>203028156.00000003</v>
      </c>
      <c r="E46">
        <f t="shared" si="1"/>
        <v>8818121899.5480003</v>
      </c>
      <c r="F46" s="64">
        <f t="shared" si="2"/>
        <v>1006634.9200397261</v>
      </c>
      <c r="G46" s="129">
        <f>(F46*3*'Cost Data'!$C$4)+(F46*'Cost Data'!$C$5)+(F46*'Cost Data'!$C$6)</f>
        <v>7553788439.9781036</v>
      </c>
      <c r="H46" s="64">
        <f>F46*'Cost Data'!$C$7</f>
        <v>2589065014.3421755</v>
      </c>
    </row>
    <row r="47" spans="2:8" x14ac:dyDescent="0.3">
      <c r="B47" s="116" t="s">
        <v>51</v>
      </c>
      <c r="C47" s="64">
        <f>$C$55*'percent of gdp'!G47</f>
        <v>981302.75399999996</v>
      </c>
      <c r="D47">
        <f t="shared" si="0"/>
        <v>981302754</v>
      </c>
      <c r="E47">
        <f t="shared" si="1"/>
        <v>42620922514.482002</v>
      </c>
      <c r="F47" s="64">
        <f t="shared" si="2"/>
        <v>4865402.1135253431</v>
      </c>
      <c r="G47" s="129">
        <f>(F47*3*'Cost Data'!$C$4)+(F47*'Cost Data'!$C$5)+(F47*'Cost Data'!$C$6)</f>
        <v>36509977459.894173</v>
      </c>
      <c r="H47" s="64">
        <f>F47*'Cost Data'!$C$7</f>
        <v>12513814235.987183</v>
      </c>
    </row>
    <row r="48" spans="2:8" x14ac:dyDescent="0.3">
      <c r="B48" s="116" t="s">
        <v>53</v>
      </c>
      <c r="C48" s="64">
        <f>$C$55*'percent of gdp'!G48</f>
        <v>101514.07800000001</v>
      </c>
      <c r="D48">
        <f t="shared" si="0"/>
        <v>101514078.00000001</v>
      </c>
      <c r="E48">
        <f t="shared" si="1"/>
        <v>4409060949.7740002</v>
      </c>
      <c r="F48" s="64">
        <f t="shared" si="2"/>
        <v>503317.46001986304</v>
      </c>
      <c r="G48" s="129">
        <f>(F48*3*'Cost Data'!$C$4)+(F48*'Cost Data'!$C$5)+(F48*'Cost Data'!$C$6)</f>
        <v>3776894219.9890518</v>
      </c>
      <c r="H48" s="64">
        <f>F48*'Cost Data'!$C$7</f>
        <v>1294532507.1710877</v>
      </c>
    </row>
    <row r="49" spans="2:8" x14ac:dyDescent="0.3">
      <c r="B49" s="116" t="s">
        <v>54</v>
      </c>
      <c r="C49" s="64">
        <f>$C$55*'percent of gdp'!G49</f>
        <v>22558.684000000001</v>
      </c>
      <c r="D49">
        <f t="shared" si="0"/>
        <v>22558684</v>
      </c>
      <c r="E49">
        <f t="shared" si="1"/>
        <v>979791322.17200005</v>
      </c>
      <c r="F49" s="64">
        <f t="shared" si="2"/>
        <v>111848.32444885846</v>
      </c>
      <c r="G49" s="129">
        <f>(F49*3*'Cost Data'!$C$4)+(F49*'Cost Data'!$C$5)+(F49*'Cost Data'!$C$6)</f>
        <v>839309826.66423392</v>
      </c>
      <c r="H49" s="64">
        <f>F49*'Cost Data'!$C$7</f>
        <v>287673890.48246396</v>
      </c>
    </row>
    <row r="50" spans="2:8" x14ac:dyDescent="0.3">
      <c r="B50" s="116" t="s">
        <v>55</v>
      </c>
      <c r="C50" s="64">
        <f>$C$55*'percent of gdp'!G50</f>
        <v>293262.89200000005</v>
      </c>
      <c r="D50">
        <f t="shared" si="0"/>
        <v>293262892.00000006</v>
      </c>
      <c r="E50">
        <f t="shared" si="1"/>
        <v>12737287188.236002</v>
      </c>
      <c r="F50" s="64">
        <f t="shared" si="2"/>
        <v>1454028.21783516</v>
      </c>
      <c r="G50" s="129">
        <f>(F50*3*'Cost Data'!$C$4)+(F50*'Cost Data'!$C$5)+(F50*'Cost Data'!$C$6)</f>
        <v>10911027746.63504</v>
      </c>
      <c r="H50" s="64">
        <f>F50*'Cost Data'!$C$7</f>
        <v>3739760576.2720313</v>
      </c>
    </row>
    <row r="51" spans="2:8" x14ac:dyDescent="0.3">
      <c r="B51" s="116" t="s">
        <v>56</v>
      </c>
      <c r="C51" s="64">
        <f>$C$55*'percent of gdp'!G51</f>
        <v>315821.57599999994</v>
      </c>
      <c r="D51">
        <f t="shared" si="0"/>
        <v>315821575.99999994</v>
      </c>
      <c r="E51">
        <f t="shared" si="1"/>
        <v>13717078510.407997</v>
      </c>
      <c r="F51" s="64">
        <f t="shared" si="2"/>
        <v>1565876.5422840179</v>
      </c>
      <c r="G51" s="129">
        <f>(F51*3*'Cost Data'!$C$4)+(F51*'Cost Data'!$C$5)+(F51*'Cost Data'!$C$6)</f>
        <v>11750337573.299271</v>
      </c>
      <c r="H51" s="64">
        <f>F51*'Cost Data'!$C$7</f>
        <v>4027434466.7544942</v>
      </c>
    </row>
    <row r="52" spans="2:8" x14ac:dyDescent="0.3">
      <c r="B52" s="116" t="s">
        <v>57</v>
      </c>
      <c r="C52" s="64">
        <f>$C$55*'percent of gdp'!G52</f>
        <v>45117.368000000002</v>
      </c>
      <c r="D52">
        <f t="shared" si="0"/>
        <v>45117368</v>
      </c>
      <c r="E52">
        <f t="shared" si="1"/>
        <v>1959582644.3440001</v>
      </c>
      <c r="F52" s="64">
        <f t="shared" si="2"/>
        <v>223696.64889771692</v>
      </c>
      <c r="G52" s="129">
        <f>(F52*3*'Cost Data'!$C$4)+(F52*'Cost Data'!$C$5)+(F52*'Cost Data'!$C$6)</f>
        <v>1678619653.3284678</v>
      </c>
      <c r="H52" s="64">
        <f>F52*'Cost Data'!$C$7</f>
        <v>575347780.96492791</v>
      </c>
    </row>
    <row r="53" spans="2:8" x14ac:dyDescent="0.3">
      <c r="B53" s="116" t="s">
        <v>58</v>
      </c>
      <c r="C53" s="64">
        <f>$C$55*'percent of gdp'!G53</f>
        <v>180469.47200000001</v>
      </c>
      <c r="D53">
        <f t="shared" si="0"/>
        <v>180469472</v>
      </c>
      <c r="E53">
        <f t="shared" si="1"/>
        <v>7838330577.3760004</v>
      </c>
      <c r="F53" s="64">
        <f t="shared" si="2"/>
        <v>894786.59559086768</v>
      </c>
      <c r="G53" s="129">
        <f>(F53*3*'Cost Data'!$C$4)+(F53*'Cost Data'!$C$5)+(F53*'Cost Data'!$C$6)</f>
        <v>6714478613.3138714</v>
      </c>
      <c r="H53" s="64">
        <f>F53*'Cost Data'!$C$7</f>
        <v>2301391123.8597116</v>
      </c>
    </row>
    <row r="54" spans="2:8" x14ac:dyDescent="0.3">
      <c r="B54" s="116" t="s">
        <v>59</v>
      </c>
      <c r="C54" s="64">
        <f>$C$55*'percent of gdp'!G54</f>
        <v>22558.684000000001</v>
      </c>
      <c r="D54">
        <f t="shared" si="0"/>
        <v>22558684</v>
      </c>
      <c r="E54">
        <f t="shared" si="1"/>
        <v>979791322.17200005</v>
      </c>
      <c r="F54" s="64">
        <f t="shared" si="2"/>
        <v>111848.32444885846</v>
      </c>
      <c r="G54" s="129">
        <f>(F54*3*'Cost Data'!$C$4)+(F54*'Cost Data'!$C$5)+(F54*'Cost Data'!$C$6)</f>
        <v>839309826.66423392</v>
      </c>
      <c r="H54" s="64">
        <f>F54*'Cost Data'!$C$7</f>
        <v>287673890.48246396</v>
      </c>
    </row>
    <row r="55" spans="2:8" x14ac:dyDescent="0.3">
      <c r="B55" s="118" t="s">
        <v>387</v>
      </c>
      <c r="C55">
        <v>11279342</v>
      </c>
      <c r="D55">
        <f>C55*10^3</f>
        <v>11279342000</v>
      </c>
      <c r="E55" s="64"/>
      <c r="G55" s="129">
        <f>SUM(G5:G54)</f>
        <v>415458364198.79553</v>
      </c>
      <c r="H55" s="129">
        <f>SUM(H5:H54)</f>
        <v>142398575788.81964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B508-C7AE-4391-B75A-647A4DF37F33}">
  <dimension ref="C3:C19"/>
  <sheetViews>
    <sheetView workbookViewId="0">
      <selection activeCell="G24" sqref="G24"/>
    </sheetView>
  </sheetViews>
  <sheetFormatPr defaultRowHeight="14.4" x14ac:dyDescent="0.3"/>
  <sheetData>
    <row r="3" spans="3:3" x14ac:dyDescent="0.3">
      <c r="C3" s="147" t="s">
        <v>530</v>
      </c>
    </row>
    <row r="5" spans="3:3" x14ac:dyDescent="0.3">
      <c r="C5" s="147" t="s">
        <v>531</v>
      </c>
    </row>
    <row r="7" spans="3:3" x14ac:dyDescent="0.3">
      <c r="C7" s="148" t="s">
        <v>532</v>
      </c>
    </row>
    <row r="9" spans="3:3" x14ac:dyDescent="0.3">
      <c r="C9" s="148" t="s">
        <v>533</v>
      </c>
    </row>
    <row r="11" spans="3:3" x14ac:dyDescent="0.3">
      <c r="C11" s="148" t="s">
        <v>499</v>
      </c>
    </row>
    <row r="13" spans="3:3" x14ac:dyDescent="0.3">
      <c r="C13" s="148" t="s">
        <v>500</v>
      </c>
    </row>
    <row r="15" spans="3:3" x14ac:dyDescent="0.3">
      <c r="C15" s="148" t="s">
        <v>501</v>
      </c>
    </row>
    <row r="17" spans="3:3" x14ac:dyDescent="0.3">
      <c r="C17" s="148" t="s">
        <v>502</v>
      </c>
    </row>
    <row r="19" spans="3:3" x14ac:dyDescent="0.3">
      <c r="C19" s="148" t="s">
        <v>534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422C6-11A6-4E9B-87A6-16FF6BFBC6CE}">
  <dimension ref="C1:G57"/>
  <sheetViews>
    <sheetView topLeftCell="A17" workbookViewId="0">
      <selection activeCell="J19" sqref="J19"/>
    </sheetView>
  </sheetViews>
  <sheetFormatPr defaultRowHeight="14.4" x14ac:dyDescent="0.3"/>
  <cols>
    <col min="4" max="4" width="15.77734375" customWidth="1"/>
    <col min="5" max="5" width="14.88671875" customWidth="1"/>
  </cols>
  <sheetData>
    <row r="1" spans="3:7" x14ac:dyDescent="0.3">
      <c r="D1" t="s">
        <v>345</v>
      </c>
      <c r="E1">
        <v>2018</v>
      </c>
      <c r="F1" t="s">
        <v>444</v>
      </c>
    </row>
    <row r="2" spans="3:7" x14ac:dyDescent="0.3">
      <c r="D2" t="s">
        <v>389</v>
      </c>
      <c r="E2" t="s">
        <v>391</v>
      </c>
    </row>
    <row r="3" spans="3:7" x14ac:dyDescent="0.3">
      <c r="D3" t="s">
        <v>390</v>
      </c>
    </row>
    <row r="4" spans="3:7" x14ac:dyDescent="0.3">
      <c r="C4" t="s">
        <v>315</v>
      </c>
      <c r="D4" t="s">
        <v>392</v>
      </c>
      <c r="E4" t="s">
        <v>393</v>
      </c>
      <c r="F4" t="s">
        <v>394</v>
      </c>
    </row>
    <row r="5" spans="3:7" x14ac:dyDescent="0.3">
      <c r="C5">
        <v>27</v>
      </c>
      <c r="D5" t="s">
        <v>421</v>
      </c>
      <c r="E5" s="131">
        <v>224654</v>
      </c>
      <c r="F5">
        <v>1.1000000000000001</v>
      </c>
      <c r="G5">
        <f>F5*0.01</f>
        <v>1.1000000000000001E-2</v>
      </c>
    </row>
    <row r="6" spans="3:7" x14ac:dyDescent="0.3">
      <c r="C6">
        <v>48</v>
      </c>
      <c r="D6" t="s">
        <v>439</v>
      </c>
      <c r="E6" s="131">
        <v>54851</v>
      </c>
      <c r="F6">
        <v>0.3</v>
      </c>
      <c r="G6">
        <f t="shared" ref="G6:G54" si="0">F6*0.01</f>
        <v>3.0000000000000001E-3</v>
      </c>
    </row>
    <row r="7" spans="3:7" x14ac:dyDescent="0.3">
      <c r="C7">
        <v>20</v>
      </c>
      <c r="D7" t="s">
        <v>414</v>
      </c>
      <c r="E7" s="131">
        <v>355311</v>
      </c>
      <c r="F7">
        <v>1.7</v>
      </c>
      <c r="G7">
        <f t="shared" si="0"/>
        <v>1.7000000000000001E-2</v>
      </c>
    </row>
    <row r="8" spans="3:7" x14ac:dyDescent="0.3">
      <c r="C8">
        <v>35</v>
      </c>
      <c r="D8" t="s">
        <v>428</v>
      </c>
      <c r="E8" s="131">
        <v>129812</v>
      </c>
      <c r="F8">
        <v>0.6</v>
      </c>
      <c r="G8">
        <f t="shared" si="0"/>
        <v>6.0000000000000001E-3</v>
      </c>
    </row>
    <row r="9" spans="3:7" x14ac:dyDescent="0.3">
      <c r="C9">
        <v>1</v>
      </c>
      <c r="D9" t="s">
        <v>395</v>
      </c>
      <c r="E9" s="131">
        <v>3018337</v>
      </c>
      <c r="F9">
        <v>14.5</v>
      </c>
      <c r="G9">
        <f t="shared" si="0"/>
        <v>0.14499999999999999</v>
      </c>
    </row>
    <row r="10" spans="3:7" x14ac:dyDescent="0.3">
      <c r="C10">
        <v>16</v>
      </c>
      <c r="D10" t="s">
        <v>410</v>
      </c>
      <c r="E10" s="131">
        <v>376994</v>
      </c>
      <c r="F10">
        <v>1.8</v>
      </c>
      <c r="G10">
        <f t="shared" si="0"/>
        <v>1.8000000000000002E-2</v>
      </c>
    </row>
    <row r="11" spans="3:7" x14ac:dyDescent="0.3">
      <c r="C11">
        <v>23</v>
      </c>
      <c r="D11" t="s">
        <v>417</v>
      </c>
      <c r="E11" s="131">
        <v>279653</v>
      </c>
      <c r="F11">
        <v>1.3</v>
      </c>
      <c r="G11">
        <f t="shared" si="0"/>
        <v>1.3000000000000001E-2</v>
      </c>
    </row>
    <row r="12" spans="3:7" x14ac:dyDescent="0.3">
      <c r="C12">
        <v>44</v>
      </c>
      <c r="D12" t="s">
        <v>436</v>
      </c>
      <c r="E12" s="131">
        <v>76537</v>
      </c>
      <c r="F12">
        <v>0.4</v>
      </c>
      <c r="G12">
        <f t="shared" si="0"/>
        <v>4.0000000000000001E-3</v>
      </c>
    </row>
    <row r="13" spans="3:7" x14ac:dyDescent="0.3">
      <c r="C13">
        <v>4</v>
      </c>
      <c r="D13" t="s">
        <v>398</v>
      </c>
      <c r="E13" s="131">
        <v>1059144</v>
      </c>
      <c r="F13">
        <v>5.0999999999999996</v>
      </c>
      <c r="G13">
        <f t="shared" si="0"/>
        <v>5.0999999999999997E-2</v>
      </c>
    </row>
    <row r="14" spans="3:7" x14ac:dyDescent="0.3">
      <c r="C14">
        <v>9</v>
      </c>
      <c r="D14" t="s">
        <v>403</v>
      </c>
      <c r="E14" s="131">
        <v>601503</v>
      </c>
      <c r="F14">
        <v>2.9</v>
      </c>
      <c r="G14">
        <f t="shared" si="0"/>
        <v>2.8999999999999998E-2</v>
      </c>
    </row>
    <row r="15" spans="3:7" x14ac:dyDescent="0.3">
      <c r="C15">
        <v>40</v>
      </c>
      <c r="D15" t="s">
        <v>432</v>
      </c>
      <c r="E15" s="131">
        <v>93419</v>
      </c>
      <c r="F15">
        <v>0.4</v>
      </c>
      <c r="G15">
        <f t="shared" si="0"/>
        <v>4.0000000000000001E-3</v>
      </c>
    </row>
    <row r="16" spans="3:7" x14ac:dyDescent="0.3">
      <c r="C16">
        <v>43</v>
      </c>
      <c r="D16" t="s">
        <v>435</v>
      </c>
      <c r="E16" s="131">
        <v>78640</v>
      </c>
      <c r="F16">
        <v>0.4</v>
      </c>
      <c r="G16">
        <f t="shared" si="0"/>
        <v>4.0000000000000001E-3</v>
      </c>
    </row>
    <row r="17" spans="3:7" x14ac:dyDescent="0.3">
      <c r="C17">
        <v>5</v>
      </c>
      <c r="D17" t="s">
        <v>399</v>
      </c>
      <c r="E17" s="131">
        <v>879947</v>
      </c>
      <c r="F17">
        <v>4.2</v>
      </c>
      <c r="G17">
        <f t="shared" si="0"/>
        <v>4.2000000000000003E-2</v>
      </c>
    </row>
    <row r="18" spans="3:7" x14ac:dyDescent="0.3">
      <c r="C18">
        <v>19</v>
      </c>
      <c r="D18" t="s">
        <v>413</v>
      </c>
      <c r="E18" s="131">
        <v>371629</v>
      </c>
      <c r="F18">
        <v>1.8</v>
      </c>
      <c r="G18">
        <f t="shared" si="0"/>
        <v>1.8000000000000002E-2</v>
      </c>
    </row>
    <row r="19" spans="3:7" x14ac:dyDescent="0.3">
      <c r="C19">
        <v>30</v>
      </c>
      <c r="D19" t="s">
        <v>424</v>
      </c>
      <c r="E19" s="131">
        <v>192608</v>
      </c>
      <c r="F19">
        <v>0.9</v>
      </c>
      <c r="G19">
        <f t="shared" si="0"/>
        <v>9.0000000000000011E-3</v>
      </c>
    </row>
    <row r="20" spans="3:7" x14ac:dyDescent="0.3">
      <c r="C20">
        <v>32</v>
      </c>
      <c r="D20" t="s">
        <v>426</v>
      </c>
      <c r="E20" s="131">
        <v>169558</v>
      </c>
      <c r="F20">
        <v>0.8</v>
      </c>
      <c r="G20">
        <f t="shared" si="0"/>
        <v>8.0000000000000002E-3</v>
      </c>
    </row>
    <row r="21" spans="3:7" x14ac:dyDescent="0.3">
      <c r="C21">
        <v>28</v>
      </c>
      <c r="D21" t="s">
        <v>422</v>
      </c>
      <c r="E21" s="131">
        <v>211621</v>
      </c>
      <c r="F21">
        <v>1</v>
      </c>
      <c r="G21">
        <f t="shared" si="0"/>
        <v>0.01</v>
      </c>
    </row>
    <row r="22" spans="3:7" x14ac:dyDescent="0.3">
      <c r="C22">
        <v>24</v>
      </c>
      <c r="D22" t="s">
        <v>418</v>
      </c>
      <c r="E22" s="131">
        <v>255492</v>
      </c>
      <c r="F22">
        <v>1.2</v>
      </c>
      <c r="G22">
        <f t="shared" si="0"/>
        <v>1.2E-2</v>
      </c>
    </row>
    <row r="23" spans="3:7" x14ac:dyDescent="0.3">
      <c r="C23">
        <v>45</v>
      </c>
      <c r="D23" t="s">
        <v>437</v>
      </c>
      <c r="E23" s="131">
        <v>65349</v>
      </c>
      <c r="F23">
        <v>0.3</v>
      </c>
      <c r="G23">
        <f t="shared" si="0"/>
        <v>3.0000000000000001E-3</v>
      </c>
    </row>
    <row r="24" spans="3:7" x14ac:dyDescent="0.3">
      <c r="C24">
        <v>15</v>
      </c>
      <c r="D24" t="s">
        <v>409</v>
      </c>
      <c r="E24" s="131">
        <v>417776</v>
      </c>
      <c r="F24">
        <v>2</v>
      </c>
      <c r="G24">
        <f t="shared" si="0"/>
        <v>0.02</v>
      </c>
    </row>
    <row r="25" spans="3:7" x14ac:dyDescent="0.3">
      <c r="C25">
        <v>11</v>
      </c>
      <c r="D25" t="s">
        <v>405</v>
      </c>
      <c r="E25" s="131">
        <v>575635</v>
      </c>
      <c r="F25">
        <v>2.8</v>
      </c>
      <c r="G25">
        <f t="shared" si="0"/>
        <v>2.7999999999999997E-2</v>
      </c>
    </row>
    <row r="26" spans="3:7" x14ac:dyDescent="0.3">
      <c r="C26">
        <v>14</v>
      </c>
      <c r="D26" t="s">
        <v>408</v>
      </c>
      <c r="E26" s="131">
        <v>537087</v>
      </c>
      <c r="F26">
        <v>2.6</v>
      </c>
      <c r="G26">
        <f t="shared" si="0"/>
        <v>2.6000000000000002E-2</v>
      </c>
    </row>
    <row r="27" spans="3:7" x14ac:dyDescent="0.3">
      <c r="C27">
        <v>17</v>
      </c>
      <c r="D27" t="s">
        <v>411</v>
      </c>
      <c r="E27" s="131">
        <v>374920</v>
      </c>
      <c r="F27">
        <v>1.8</v>
      </c>
      <c r="G27">
        <f t="shared" si="0"/>
        <v>1.8000000000000002E-2</v>
      </c>
    </row>
    <row r="28" spans="3:7" x14ac:dyDescent="0.3">
      <c r="C28">
        <v>37</v>
      </c>
      <c r="D28" t="s">
        <v>430</v>
      </c>
      <c r="E28" s="131">
        <v>115749</v>
      </c>
      <c r="F28">
        <v>0.6</v>
      </c>
      <c r="G28">
        <f t="shared" si="0"/>
        <v>6.0000000000000001E-3</v>
      </c>
    </row>
    <row r="29" spans="3:7" x14ac:dyDescent="0.3">
      <c r="C29">
        <v>22</v>
      </c>
      <c r="D29" t="s">
        <v>416</v>
      </c>
      <c r="E29" s="131">
        <v>323287</v>
      </c>
      <c r="F29">
        <v>1.5</v>
      </c>
      <c r="G29">
        <f t="shared" si="0"/>
        <v>1.4999999999999999E-2</v>
      </c>
    </row>
    <row r="30" spans="3:7" x14ac:dyDescent="0.3">
      <c r="C30">
        <v>50</v>
      </c>
      <c r="D30" t="s">
        <v>441</v>
      </c>
      <c r="E30" s="131">
        <v>49635</v>
      </c>
      <c r="F30">
        <v>0.2</v>
      </c>
      <c r="G30">
        <f t="shared" si="0"/>
        <v>2E-3</v>
      </c>
    </row>
    <row r="31" spans="3:7" x14ac:dyDescent="0.3">
      <c r="C31">
        <v>36</v>
      </c>
      <c r="D31" t="s">
        <v>429</v>
      </c>
      <c r="E31" s="131">
        <v>124742</v>
      </c>
      <c r="F31">
        <v>0.6</v>
      </c>
      <c r="G31">
        <f t="shared" si="0"/>
        <v>6.0000000000000001E-3</v>
      </c>
    </row>
    <row r="32" spans="3:7" x14ac:dyDescent="0.3">
      <c r="C32">
        <v>33</v>
      </c>
      <c r="D32" t="s">
        <v>427</v>
      </c>
      <c r="E32" s="131">
        <v>168752</v>
      </c>
      <c r="F32">
        <v>0.8</v>
      </c>
      <c r="G32">
        <f t="shared" si="0"/>
        <v>8.0000000000000002E-3</v>
      </c>
    </row>
    <row r="33" spans="3:7" x14ac:dyDescent="0.3">
      <c r="C33">
        <v>41</v>
      </c>
      <c r="D33" t="s">
        <v>433</v>
      </c>
      <c r="E33" s="131">
        <v>86046</v>
      </c>
      <c r="F33">
        <v>0.4</v>
      </c>
      <c r="G33">
        <f t="shared" si="0"/>
        <v>4.0000000000000001E-3</v>
      </c>
    </row>
    <row r="34" spans="3:7" x14ac:dyDescent="0.3">
      <c r="C34">
        <v>8</v>
      </c>
      <c r="D34" t="s">
        <v>402</v>
      </c>
      <c r="E34" s="131">
        <v>634721</v>
      </c>
      <c r="F34">
        <v>3</v>
      </c>
      <c r="G34">
        <f t="shared" si="0"/>
        <v>0.03</v>
      </c>
    </row>
    <row r="35" spans="3:7" x14ac:dyDescent="0.3">
      <c r="C35">
        <v>38</v>
      </c>
      <c r="D35" t="s">
        <v>431</v>
      </c>
      <c r="E35" s="131">
        <v>101452</v>
      </c>
      <c r="F35">
        <v>0.5</v>
      </c>
      <c r="G35">
        <f t="shared" si="0"/>
        <v>5.0000000000000001E-3</v>
      </c>
    </row>
    <row r="36" spans="3:7" x14ac:dyDescent="0.3">
      <c r="C36">
        <v>3</v>
      </c>
      <c r="D36" t="s">
        <v>397</v>
      </c>
      <c r="E36" s="131">
        <v>1701399</v>
      </c>
      <c r="F36">
        <v>8.1999999999999993</v>
      </c>
      <c r="G36">
        <f t="shared" si="0"/>
        <v>8.199999999999999E-2</v>
      </c>
    </row>
    <row r="37" spans="3:7" x14ac:dyDescent="0.3">
      <c r="C37">
        <v>12</v>
      </c>
      <c r="D37" t="s">
        <v>406</v>
      </c>
      <c r="E37" s="131">
        <v>575605</v>
      </c>
      <c r="F37">
        <v>2.8</v>
      </c>
      <c r="G37">
        <f t="shared" si="0"/>
        <v>2.7999999999999997E-2</v>
      </c>
    </row>
    <row r="38" spans="3:7" x14ac:dyDescent="0.3">
      <c r="C38">
        <v>47</v>
      </c>
      <c r="D38" t="s">
        <v>42</v>
      </c>
      <c r="E38" s="131">
        <v>55657</v>
      </c>
      <c r="F38">
        <v>0.3</v>
      </c>
      <c r="G38">
        <f t="shared" si="0"/>
        <v>3.0000000000000001E-3</v>
      </c>
    </row>
    <row r="39" spans="3:7" x14ac:dyDescent="0.3">
      <c r="C39">
        <v>7</v>
      </c>
      <c r="D39" t="s">
        <v>401</v>
      </c>
      <c r="E39" s="131">
        <v>689139</v>
      </c>
      <c r="F39">
        <v>3.3</v>
      </c>
      <c r="G39">
        <f t="shared" si="0"/>
        <v>3.3000000000000002E-2</v>
      </c>
    </row>
    <row r="40" spans="3:7" x14ac:dyDescent="0.3">
      <c r="C40">
        <v>29</v>
      </c>
      <c r="D40" t="s">
        <v>423</v>
      </c>
      <c r="E40" s="131">
        <v>203250</v>
      </c>
      <c r="F40">
        <v>1</v>
      </c>
      <c r="G40">
        <f t="shared" si="0"/>
        <v>0.01</v>
      </c>
    </row>
    <row r="41" spans="3:7" x14ac:dyDescent="0.3">
      <c r="C41">
        <v>25</v>
      </c>
      <c r="D41" t="s">
        <v>419</v>
      </c>
      <c r="E41" s="131">
        <v>243085</v>
      </c>
      <c r="F41">
        <v>1.2</v>
      </c>
      <c r="G41">
        <f t="shared" si="0"/>
        <v>1.2E-2</v>
      </c>
    </row>
    <row r="42" spans="3:7" x14ac:dyDescent="0.3">
      <c r="C42">
        <v>6</v>
      </c>
      <c r="D42" t="s">
        <v>400</v>
      </c>
      <c r="E42" s="131">
        <v>803307</v>
      </c>
      <c r="F42">
        <v>3.8</v>
      </c>
      <c r="G42">
        <f t="shared" si="0"/>
        <v>3.7999999999999999E-2</v>
      </c>
    </row>
    <row r="43" spans="3:7" x14ac:dyDescent="0.3">
      <c r="C43">
        <v>46</v>
      </c>
      <c r="D43" t="s">
        <v>438</v>
      </c>
      <c r="E43" s="131">
        <v>61341</v>
      </c>
      <c r="F43">
        <v>0.3</v>
      </c>
      <c r="G43">
        <f t="shared" si="0"/>
        <v>3.0000000000000001E-3</v>
      </c>
    </row>
    <row r="44" spans="3:7" x14ac:dyDescent="0.3">
      <c r="C44">
        <v>26</v>
      </c>
      <c r="D44" t="s">
        <v>420</v>
      </c>
      <c r="E44" s="131">
        <v>234367</v>
      </c>
      <c r="F44">
        <v>1.1000000000000001</v>
      </c>
      <c r="G44">
        <f t="shared" si="0"/>
        <v>1.1000000000000001E-2</v>
      </c>
    </row>
    <row r="45" spans="3:7" x14ac:dyDescent="0.3">
      <c r="C45">
        <v>49</v>
      </c>
      <c r="D45" t="s">
        <v>440</v>
      </c>
      <c r="E45" s="131">
        <v>52544</v>
      </c>
      <c r="F45">
        <v>0.3</v>
      </c>
      <c r="G45">
        <f t="shared" si="0"/>
        <v>3.0000000000000001E-3</v>
      </c>
    </row>
    <row r="46" spans="3:7" x14ac:dyDescent="0.3">
      <c r="C46">
        <v>18</v>
      </c>
      <c r="D46" t="s">
        <v>412</v>
      </c>
      <c r="E46" s="131">
        <v>373663</v>
      </c>
      <c r="F46">
        <v>1.8</v>
      </c>
      <c r="G46">
        <f t="shared" si="0"/>
        <v>1.8000000000000002E-2</v>
      </c>
    </row>
    <row r="47" spans="3:7" x14ac:dyDescent="0.3">
      <c r="C47">
        <v>2</v>
      </c>
      <c r="D47" t="s">
        <v>396</v>
      </c>
      <c r="E47" s="131">
        <v>1818585</v>
      </c>
      <c r="F47">
        <v>8.6999999999999993</v>
      </c>
      <c r="G47">
        <f t="shared" si="0"/>
        <v>8.6999999999999994E-2</v>
      </c>
    </row>
    <row r="48" spans="3:7" x14ac:dyDescent="0.3">
      <c r="C48">
        <v>31</v>
      </c>
      <c r="D48" t="s">
        <v>425</v>
      </c>
      <c r="E48" s="131">
        <v>180862</v>
      </c>
      <c r="F48">
        <v>0.9</v>
      </c>
      <c r="G48">
        <f t="shared" si="0"/>
        <v>9.0000000000000011E-3</v>
      </c>
    </row>
    <row r="49" spans="3:7" x14ac:dyDescent="0.3">
      <c r="C49">
        <v>52</v>
      </c>
      <c r="D49" t="s">
        <v>443</v>
      </c>
      <c r="E49" s="131">
        <v>34154</v>
      </c>
      <c r="F49">
        <v>0.2</v>
      </c>
      <c r="G49">
        <f t="shared" si="0"/>
        <v>2E-3</v>
      </c>
    </row>
    <row r="50" spans="3:7" x14ac:dyDescent="0.3">
      <c r="C50">
        <v>13</v>
      </c>
      <c r="D50" t="s">
        <v>407</v>
      </c>
      <c r="E50" s="131">
        <v>544348</v>
      </c>
      <c r="F50">
        <v>2.6</v>
      </c>
      <c r="G50">
        <f t="shared" si="0"/>
        <v>2.6000000000000002E-2</v>
      </c>
    </row>
    <row r="51" spans="3:7" x14ac:dyDescent="0.3">
      <c r="C51">
        <v>10</v>
      </c>
      <c r="D51" t="s">
        <v>404</v>
      </c>
      <c r="E51" s="131">
        <v>576624</v>
      </c>
      <c r="F51">
        <v>2.8</v>
      </c>
      <c r="G51">
        <f t="shared" si="0"/>
        <v>2.7999999999999997E-2</v>
      </c>
    </row>
    <row r="52" spans="3:7" x14ac:dyDescent="0.3">
      <c r="C52">
        <v>42</v>
      </c>
      <c r="D52" t="s">
        <v>434</v>
      </c>
      <c r="E52" s="131">
        <v>79168</v>
      </c>
      <c r="F52">
        <v>0.4</v>
      </c>
      <c r="G52">
        <f t="shared" si="0"/>
        <v>4.0000000000000001E-3</v>
      </c>
    </row>
    <row r="53" spans="3:7" x14ac:dyDescent="0.3">
      <c r="C53">
        <v>21</v>
      </c>
      <c r="D53" t="s">
        <v>415</v>
      </c>
      <c r="E53" s="131">
        <v>342470</v>
      </c>
      <c r="F53">
        <v>1.6</v>
      </c>
      <c r="G53">
        <f t="shared" si="0"/>
        <v>1.6E-2</v>
      </c>
    </row>
    <row r="54" spans="3:7" x14ac:dyDescent="0.3">
      <c r="C54">
        <v>51</v>
      </c>
      <c r="D54" t="s">
        <v>442</v>
      </c>
      <c r="E54" s="131">
        <v>39899</v>
      </c>
      <c r="F54">
        <v>0.2</v>
      </c>
      <c r="G54">
        <f t="shared" si="0"/>
        <v>2E-3</v>
      </c>
    </row>
    <row r="55" spans="3:7" x14ac:dyDescent="0.3">
      <c r="E55" s="131">
        <f>SUM(E5:E54)</f>
        <v>20614328</v>
      </c>
    </row>
    <row r="56" spans="3:7" x14ac:dyDescent="0.3">
      <c r="E56" s="131"/>
    </row>
    <row r="57" spans="3:7" x14ac:dyDescent="0.3">
      <c r="E57" s="131"/>
    </row>
  </sheetData>
  <sortState xmlns:xlrd2="http://schemas.microsoft.com/office/spreadsheetml/2017/richdata2" ref="C5:F54">
    <sortCondition ref="D5:D54"/>
  </sortState>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BDBBB-AD8D-4D77-B27E-25029BA9B096}">
  <dimension ref="A1:H54"/>
  <sheetViews>
    <sheetView workbookViewId="0">
      <selection sqref="A1:A2"/>
    </sheetView>
  </sheetViews>
  <sheetFormatPr defaultRowHeight="14.4" x14ac:dyDescent="0.3"/>
  <cols>
    <col min="1" max="1" width="14" bestFit="1" customWidth="1"/>
    <col min="2" max="2" width="20.21875" bestFit="1" customWidth="1"/>
    <col min="3" max="3" width="17.44140625" bestFit="1" customWidth="1"/>
    <col min="4" max="4" width="20.88671875" bestFit="1" customWidth="1"/>
    <col min="5" max="5" width="26.21875" bestFit="1" customWidth="1"/>
    <col min="6" max="6" width="18" bestFit="1" customWidth="1"/>
    <col min="7" max="7" width="15.77734375" bestFit="1" customWidth="1"/>
    <col min="8" max="8" width="18.44140625" bestFit="1" customWidth="1"/>
  </cols>
  <sheetData>
    <row r="1" spans="1:8" ht="18" x14ac:dyDescent="0.35">
      <c r="A1" s="138" t="s">
        <v>462</v>
      </c>
    </row>
    <row r="2" spans="1:8" x14ac:dyDescent="0.3">
      <c r="A2" s="137" t="s">
        <v>460</v>
      </c>
    </row>
    <row r="3" spans="1:8" x14ac:dyDescent="0.3">
      <c r="A3" s="132" t="s">
        <v>377</v>
      </c>
      <c r="B3" t="s">
        <v>383</v>
      </c>
      <c r="C3" t="s">
        <v>454</v>
      </c>
      <c r="D3" t="s">
        <v>455</v>
      </c>
      <c r="E3" t="s">
        <v>456</v>
      </c>
      <c r="F3" t="s">
        <v>457</v>
      </c>
      <c r="G3" t="s">
        <v>458</v>
      </c>
      <c r="H3" t="s">
        <v>459</v>
      </c>
    </row>
    <row r="4" spans="1:8" x14ac:dyDescent="0.3">
      <c r="A4" s="133" t="s">
        <v>9</v>
      </c>
      <c r="B4" s="35">
        <v>32000000000</v>
      </c>
      <c r="C4" s="35">
        <v>58000000000</v>
      </c>
      <c r="D4" s="35">
        <v>8000000000</v>
      </c>
      <c r="E4" s="35">
        <v>134000000000</v>
      </c>
      <c r="F4" s="35">
        <v>92000000000</v>
      </c>
      <c r="G4" s="35">
        <v>2000000000</v>
      </c>
      <c r="H4" s="35">
        <v>327000000000</v>
      </c>
    </row>
    <row r="5" spans="1:8" x14ac:dyDescent="0.3">
      <c r="A5" s="133" t="s">
        <v>10</v>
      </c>
      <c r="B5" s="35">
        <v>3000000000</v>
      </c>
      <c r="C5" s="35">
        <v>30000000000</v>
      </c>
      <c r="D5" s="35">
        <v>2000000000</v>
      </c>
      <c r="E5" s="35">
        <v>17000000000</v>
      </c>
      <c r="F5" s="35">
        <v>16000000000</v>
      </c>
      <c r="G5" s="35">
        <v>0</v>
      </c>
      <c r="H5" s="35">
        <v>69000000000</v>
      </c>
    </row>
    <row r="6" spans="1:8" x14ac:dyDescent="0.3">
      <c r="A6" s="133" t="s">
        <v>11</v>
      </c>
      <c r="B6" s="35">
        <v>38000000000</v>
      </c>
      <c r="C6" s="35">
        <v>28000000000</v>
      </c>
      <c r="D6" s="35">
        <v>19000000000</v>
      </c>
      <c r="E6" s="35">
        <v>169000000000</v>
      </c>
      <c r="F6" s="35">
        <v>97000000000</v>
      </c>
      <c r="G6" s="35">
        <v>2000000000</v>
      </c>
      <c r="H6" s="35">
        <v>354000000000</v>
      </c>
    </row>
    <row r="7" spans="1:8" x14ac:dyDescent="0.3">
      <c r="A7" s="133" t="s">
        <v>12</v>
      </c>
      <c r="B7" s="35">
        <v>18000000000</v>
      </c>
      <c r="C7" s="35">
        <v>28000000000</v>
      </c>
      <c r="D7" s="35">
        <v>5000000000</v>
      </c>
      <c r="E7" s="35">
        <v>83000000000</v>
      </c>
      <c r="F7" s="35">
        <v>50000000000</v>
      </c>
      <c r="G7" s="35">
        <v>1000000000</v>
      </c>
      <c r="H7" s="35">
        <v>185000000000</v>
      </c>
    </row>
    <row r="8" spans="1:8" x14ac:dyDescent="0.3">
      <c r="A8" s="133" t="s">
        <v>13</v>
      </c>
      <c r="B8" s="35">
        <v>184000000000</v>
      </c>
      <c r="C8" s="35">
        <v>184000000000</v>
      </c>
      <c r="D8" s="35">
        <v>103000000000</v>
      </c>
      <c r="E8" s="35">
        <v>931000000000</v>
      </c>
      <c r="F8" s="35">
        <v>471000000000</v>
      </c>
      <c r="G8" s="35">
        <v>21000000000</v>
      </c>
      <c r="H8" s="35">
        <v>1895000000000</v>
      </c>
    </row>
    <row r="9" spans="1:8" x14ac:dyDescent="0.3">
      <c r="A9" s="133" t="s">
        <v>14</v>
      </c>
      <c r="B9" s="35">
        <v>31000000000</v>
      </c>
      <c r="C9" s="35">
        <v>38000000000</v>
      </c>
      <c r="D9" s="35">
        <v>15000000000</v>
      </c>
      <c r="E9" s="35">
        <v>134000000000</v>
      </c>
      <c r="F9" s="35">
        <v>90000000000</v>
      </c>
      <c r="G9" s="35">
        <v>3000000000</v>
      </c>
      <c r="H9" s="35">
        <v>310000000000</v>
      </c>
    </row>
    <row r="10" spans="1:8" x14ac:dyDescent="0.3">
      <c r="A10" s="133" t="s">
        <v>15</v>
      </c>
      <c r="B10" s="35">
        <v>20000000000</v>
      </c>
      <c r="C10" s="35">
        <v>21000000000</v>
      </c>
      <c r="D10" s="35">
        <v>11000000000</v>
      </c>
      <c r="E10" s="35">
        <v>99000000000</v>
      </c>
      <c r="F10" s="35">
        <v>45000000000</v>
      </c>
      <c r="G10" s="35">
        <v>2000000000</v>
      </c>
      <c r="H10" s="35">
        <v>198000000000</v>
      </c>
    </row>
    <row r="11" spans="1:8" x14ac:dyDescent="0.3">
      <c r="A11" s="133" t="s">
        <v>16</v>
      </c>
      <c r="B11" s="35">
        <v>6000000000</v>
      </c>
      <c r="C11" s="35">
        <v>9000000000</v>
      </c>
      <c r="D11" s="35">
        <v>3000000000</v>
      </c>
      <c r="E11" s="35">
        <v>27000000000</v>
      </c>
      <c r="F11" s="35">
        <v>16000000000</v>
      </c>
      <c r="G11" s="35">
        <v>1000000000</v>
      </c>
      <c r="H11" s="35">
        <v>62000000000</v>
      </c>
    </row>
    <row r="12" spans="1:8" x14ac:dyDescent="0.3">
      <c r="A12" s="133" t="s">
        <v>17</v>
      </c>
      <c r="B12" s="35">
        <v>94000000000</v>
      </c>
      <c r="C12" s="35">
        <v>122000000000</v>
      </c>
      <c r="D12" s="35">
        <v>33000000000</v>
      </c>
      <c r="E12" s="35">
        <v>585000000000</v>
      </c>
      <c r="F12" s="35">
        <v>260000000000</v>
      </c>
      <c r="G12" s="35">
        <v>7000000000</v>
      </c>
      <c r="H12" s="35">
        <v>1102000000000</v>
      </c>
    </row>
    <row r="13" spans="1:8" x14ac:dyDescent="0.3">
      <c r="A13" s="133" t="s">
        <v>18</v>
      </c>
      <c r="B13" s="35">
        <v>64000000000</v>
      </c>
      <c r="C13" s="35">
        <v>61000000000</v>
      </c>
      <c r="D13" s="35">
        <v>16000000000</v>
      </c>
      <c r="E13" s="35">
        <v>289000000000</v>
      </c>
      <c r="F13" s="35">
        <v>137000000000</v>
      </c>
      <c r="G13" s="35">
        <v>4000000000</v>
      </c>
      <c r="H13" s="35">
        <v>571000000000</v>
      </c>
    </row>
    <row r="14" spans="1:8" x14ac:dyDescent="0.3">
      <c r="A14" s="133" t="s">
        <v>19</v>
      </c>
      <c r="B14" s="35">
        <v>6000000000</v>
      </c>
      <c r="C14" s="35">
        <v>0</v>
      </c>
      <c r="D14" s="35">
        <v>4000000000</v>
      </c>
      <c r="E14" s="35">
        <v>33000000000</v>
      </c>
      <c r="F14" s="35">
        <v>21000000000</v>
      </c>
      <c r="G14" s="35">
        <v>1000000000</v>
      </c>
      <c r="H14" s="35">
        <v>65000000000</v>
      </c>
    </row>
    <row r="15" spans="1:8" x14ac:dyDescent="0.3">
      <c r="A15" s="133" t="s">
        <v>20</v>
      </c>
      <c r="B15" s="35">
        <v>10000000000</v>
      </c>
      <c r="C15" s="35">
        <v>10000000000</v>
      </c>
      <c r="D15" s="35">
        <v>5000000000</v>
      </c>
      <c r="E15" s="35">
        <v>41000000000</v>
      </c>
      <c r="F15" s="35">
        <v>33000000000</v>
      </c>
      <c r="G15" s="35">
        <v>1000000000</v>
      </c>
      <c r="H15" s="35">
        <v>99000000000</v>
      </c>
    </row>
    <row r="16" spans="1:8" x14ac:dyDescent="0.3">
      <c r="A16" s="133" t="s">
        <v>21</v>
      </c>
      <c r="B16" s="35">
        <v>60000000000</v>
      </c>
      <c r="C16" s="35">
        <v>87000000000</v>
      </c>
      <c r="D16" s="35">
        <v>38000000000</v>
      </c>
      <c r="E16" s="35">
        <v>353000000000</v>
      </c>
      <c r="F16" s="35">
        <v>168000000000</v>
      </c>
      <c r="G16" s="35">
        <v>6000000000</v>
      </c>
      <c r="H16" s="35">
        <v>712000000000</v>
      </c>
    </row>
    <row r="17" spans="1:8" x14ac:dyDescent="0.3">
      <c r="A17" s="133" t="s">
        <v>22</v>
      </c>
      <c r="B17" s="35">
        <v>39000000000</v>
      </c>
      <c r="C17" s="35">
        <v>65000000000</v>
      </c>
      <c r="D17" s="35">
        <v>20000000000</v>
      </c>
      <c r="E17" s="35">
        <v>185000000000</v>
      </c>
      <c r="F17" s="35">
        <v>105000000000</v>
      </c>
      <c r="G17" s="35">
        <v>3000000000</v>
      </c>
      <c r="H17" s="35">
        <v>417000000000</v>
      </c>
    </row>
    <row r="18" spans="1:8" x14ac:dyDescent="0.3">
      <c r="A18" s="133" t="s">
        <v>23</v>
      </c>
      <c r="B18" s="35">
        <v>15000000000</v>
      </c>
      <c r="C18" s="35">
        <v>34000000000</v>
      </c>
      <c r="D18" s="35">
        <v>9000000000</v>
      </c>
      <c r="E18" s="35">
        <v>87000000000</v>
      </c>
      <c r="F18" s="35">
        <v>63000000000</v>
      </c>
      <c r="G18" s="35">
        <v>1000000000</v>
      </c>
      <c r="H18" s="35">
        <v>210000000000</v>
      </c>
    </row>
    <row r="19" spans="1:8" x14ac:dyDescent="0.3">
      <c r="A19" s="133" t="s">
        <v>24</v>
      </c>
      <c r="B19" s="35">
        <v>21000000000</v>
      </c>
      <c r="C19" s="35">
        <v>24000000000</v>
      </c>
      <c r="D19" s="35">
        <v>9000000000</v>
      </c>
      <c r="E19" s="35">
        <v>81000000000</v>
      </c>
      <c r="F19" s="35">
        <v>46000000000</v>
      </c>
      <c r="G19" s="35">
        <v>1000000000</v>
      </c>
      <c r="H19" s="35">
        <v>181000000000</v>
      </c>
    </row>
    <row r="20" spans="1:8" x14ac:dyDescent="0.3">
      <c r="A20" s="133" t="s">
        <v>25</v>
      </c>
      <c r="B20" s="35">
        <v>26000000000</v>
      </c>
      <c r="C20" s="35">
        <v>25000000000</v>
      </c>
      <c r="D20" s="35">
        <v>7000000000</v>
      </c>
      <c r="E20" s="35">
        <v>123000000000</v>
      </c>
      <c r="F20" s="35">
        <v>72000000000</v>
      </c>
      <c r="G20" s="35">
        <v>1000000000</v>
      </c>
      <c r="H20" s="35">
        <v>254000000000</v>
      </c>
    </row>
    <row r="21" spans="1:8" x14ac:dyDescent="0.3">
      <c r="A21" s="133" t="s">
        <v>26</v>
      </c>
      <c r="B21" s="35">
        <v>36000000000</v>
      </c>
      <c r="C21" s="35">
        <v>139000000000</v>
      </c>
      <c r="D21" s="35">
        <v>7000000000</v>
      </c>
      <c r="E21" s="35">
        <v>128000000000</v>
      </c>
      <c r="F21" s="35">
        <v>69000000000</v>
      </c>
      <c r="G21" s="35">
        <v>2000000000</v>
      </c>
      <c r="H21" s="35">
        <v>380000000000</v>
      </c>
    </row>
    <row r="22" spans="1:8" x14ac:dyDescent="0.3">
      <c r="A22" s="133" t="s">
        <v>27</v>
      </c>
      <c r="B22" s="35">
        <v>9000000000</v>
      </c>
      <c r="C22" s="35">
        <v>4000000000</v>
      </c>
      <c r="D22" s="35">
        <v>4000000000</v>
      </c>
      <c r="E22" s="35">
        <v>37000000000</v>
      </c>
      <c r="F22" s="35">
        <v>19000000000</v>
      </c>
      <c r="G22" s="35">
        <v>0</v>
      </c>
      <c r="H22" s="35">
        <v>74000000000</v>
      </c>
    </row>
    <row r="23" spans="1:8" x14ac:dyDescent="0.3">
      <c r="A23" s="133" t="s">
        <v>28</v>
      </c>
      <c r="B23" s="35">
        <v>25000000000</v>
      </c>
      <c r="C23" s="35">
        <v>19000000000</v>
      </c>
      <c r="D23" s="35">
        <v>19000000000</v>
      </c>
      <c r="E23" s="35">
        <v>167000000000</v>
      </c>
      <c r="F23" s="35">
        <v>66000000000</v>
      </c>
      <c r="G23" s="35">
        <v>3000000000</v>
      </c>
      <c r="H23" s="35">
        <v>300000000000</v>
      </c>
    </row>
    <row r="24" spans="1:8" x14ac:dyDescent="0.3">
      <c r="A24" s="133" t="s">
        <v>29</v>
      </c>
      <c r="B24" s="35">
        <v>30000000000</v>
      </c>
      <c r="C24" s="35">
        <v>39000000000</v>
      </c>
      <c r="D24" s="35">
        <v>22000000000</v>
      </c>
      <c r="E24" s="35">
        <v>191000000000</v>
      </c>
      <c r="F24" s="35">
        <v>81000000000</v>
      </c>
      <c r="G24" s="35">
        <v>4000000000</v>
      </c>
      <c r="H24" s="35">
        <v>368000000000</v>
      </c>
    </row>
    <row r="25" spans="1:8" x14ac:dyDescent="0.3">
      <c r="A25" s="133" t="s">
        <v>30</v>
      </c>
      <c r="B25" s="35">
        <v>60000000000</v>
      </c>
      <c r="C25" s="35">
        <v>76000000000</v>
      </c>
      <c r="D25" s="35">
        <v>30000000000</v>
      </c>
      <c r="E25" s="35">
        <v>277000000000</v>
      </c>
      <c r="F25" s="35">
        <v>142000000000</v>
      </c>
      <c r="G25" s="35">
        <v>4000000000</v>
      </c>
      <c r="H25" s="35">
        <v>589000000000</v>
      </c>
    </row>
    <row r="26" spans="1:8" x14ac:dyDescent="0.3">
      <c r="A26" s="133" t="s">
        <v>31</v>
      </c>
      <c r="B26" s="35">
        <v>29000000000</v>
      </c>
      <c r="C26" s="35">
        <v>40000000000</v>
      </c>
      <c r="D26" s="35">
        <v>17000000000</v>
      </c>
      <c r="E26" s="35">
        <v>155000000000</v>
      </c>
      <c r="F26" s="35">
        <v>90000000000</v>
      </c>
      <c r="G26" s="35">
        <v>3000000000</v>
      </c>
      <c r="H26" s="35">
        <v>335000000000</v>
      </c>
    </row>
    <row r="27" spans="1:8" x14ac:dyDescent="0.3">
      <c r="A27" s="133" t="s">
        <v>32</v>
      </c>
      <c r="B27" s="35">
        <v>22000000000</v>
      </c>
      <c r="C27" s="35">
        <v>47000000000</v>
      </c>
      <c r="D27" s="35">
        <v>5000000000</v>
      </c>
      <c r="E27" s="35">
        <v>82000000000</v>
      </c>
      <c r="F27" s="35">
        <v>36000000000</v>
      </c>
      <c r="G27" s="35">
        <v>1000000000</v>
      </c>
      <c r="H27" s="35">
        <v>191000000000</v>
      </c>
    </row>
    <row r="28" spans="1:8" x14ac:dyDescent="0.3">
      <c r="A28" s="133" t="s">
        <v>33</v>
      </c>
      <c r="B28" s="35">
        <v>37000000000</v>
      </c>
      <c r="C28" s="35">
        <v>23000000000</v>
      </c>
      <c r="D28" s="35">
        <v>9000000000</v>
      </c>
      <c r="E28" s="35">
        <v>168000000000</v>
      </c>
      <c r="F28" s="35">
        <v>97000000000</v>
      </c>
      <c r="G28" s="35">
        <v>2000000000</v>
      </c>
      <c r="H28" s="35">
        <v>337000000000</v>
      </c>
    </row>
    <row r="29" spans="1:8" x14ac:dyDescent="0.3">
      <c r="A29" s="133" t="s">
        <v>34</v>
      </c>
      <c r="B29" s="35">
        <v>10000000000</v>
      </c>
      <c r="C29" s="35">
        <v>7000000000</v>
      </c>
      <c r="D29" s="35">
        <v>3000000000</v>
      </c>
      <c r="E29" s="35">
        <v>25000000000</v>
      </c>
      <c r="F29" s="35">
        <v>30000000000</v>
      </c>
      <c r="G29" s="35">
        <v>0</v>
      </c>
      <c r="H29" s="35">
        <v>74000000000</v>
      </c>
    </row>
    <row r="30" spans="1:8" x14ac:dyDescent="0.3">
      <c r="A30" s="133" t="s">
        <v>35</v>
      </c>
      <c r="B30" s="35">
        <v>11000000000</v>
      </c>
      <c r="C30" s="35">
        <v>14000000000</v>
      </c>
      <c r="D30" s="35">
        <v>6000000000</v>
      </c>
      <c r="E30" s="35">
        <v>53000000000</v>
      </c>
      <c r="F30" s="35">
        <v>35000000000</v>
      </c>
      <c r="G30" s="35">
        <v>1000000000</v>
      </c>
      <c r="H30" s="35">
        <v>120000000000</v>
      </c>
    </row>
    <row r="31" spans="1:8" x14ac:dyDescent="0.3">
      <c r="A31" s="133" t="s">
        <v>36</v>
      </c>
      <c r="B31" s="35">
        <v>15000000000</v>
      </c>
      <c r="C31" s="35">
        <v>26000000000</v>
      </c>
      <c r="D31" s="35">
        <v>8000000000</v>
      </c>
      <c r="E31" s="35">
        <v>71000000000</v>
      </c>
      <c r="F31" s="35">
        <v>39000000000</v>
      </c>
      <c r="G31" s="35">
        <v>1000000000</v>
      </c>
      <c r="H31" s="35">
        <v>161000000000</v>
      </c>
    </row>
    <row r="32" spans="1:8" x14ac:dyDescent="0.3">
      <c r="A32" s="133" t="s">
        <v>37</v>
      </c>
      <c r="B32" s="35">
        <v>7000000000</v>
      </c>
      <c r="C32" s="35">
        <v>5000000000</v>
      </c>
      <c r="D32" s="35">
        <v>4000000000</v>
      </c>
      <c r="E32" s="35">
        <v>38000000000</v>
      </c>
      <c r="F32" s="35">
        <v>22000000000</v>
      </c>
      <c r="G32" s="35">
        <v>1000000000</v>
      </c>
      <c r="H32" s="35">
        <v>76000000000</v>
      </c>
    </row>
    <row r="33" spans="1:8" x14ac:dyDescent="0.3">
      <c r="A33" s="133" t="s">
        <v>38</v>
      </c>
      <c r="B33" s="35">
        <v>48000000000</v>
      </c>
      <c r="C33" s="35">
        <v>62000000000</v>
      </c>
      <c r="D33" s="35">
        <v>29000000000</v>
      </c>
      <c r="E33" s="35">
        <v>247000000000</v>
      </c>
      <c r="F33" s="35">
        <v>94000000000</v>
      </c>
      <c r="G33" s="35">
        <v>4000000000</v>
      </c>
      <c r="H33" s="35">
        <v>483000000000</v>
      </c>
    </row>
    <row r="34" spans="1:8" x14ac:dyDescent="0.3">
      <c r="A34" s="133" t="s">
        <v>39</v>
      </c>
      <c r="B34" s="35">
        <v>13000000000</v>
      </c>
      <c r="C34" s="35">
        <v>21000000000</v>
      </c>
      <c r="D34" s="35">
        <v>5000000000</v>
      </c>
      <c r="E34" s="35">
        <v>49000000000</v>
      </c>
      <c r="F34" s="35">
        <v>32000000000</v>
      </c>
      <c r="G34" s="35">
        <v>1000000000</v>
      </c>
      <c r="H34" s="35">
        <v>122000000000</v>
      </c>
    </row>
    <row r="35" spans="1:8" x14ac:dyDescent="0.3">
      <c r="A35" s="133" t="s">
        <v>40</v>
      </c>
      <c r="B35" s="35">
        <v>71000000000</v>
      </c>
      <c r="C35" s="35">
        <v>110000000000</v>
      </c>
      <c r="D35" s="35">
        <v>63000000000</v>
      </c>
      <c r="E35" s="35">
        <v>541000000000</v>
      </c>
      <c r="F35" s="35">
        <v>181000000000</v>
      </c>
      <c r="G35" s="35">
        <v>12000000000</v>
      </c>
      <c r="H35" s="35">
        <v>977000000000</v>
      </c>
    </row>
    <row r="36" spans="1:8" x14ac:dyDescent="0.3">
      <c r="A36" s="133" t="s">
        <v>41</v>
      </c>
      <c r="B36" s="35">
        <v>57000000000</v>
      </c>
      <c r="C36" s="35">
        <v>44000000000</v>
      </c>
      <c r="D36" s="35">
        <v>16000000000</v>
      </c>
      <c r="E36" s="35">
        <v>285000000000</v>
      </c>
      <c r="F36" s="35">
        <v>138000000000</v>
      </c>
      <c r="G36" s="35">
        <v>4000000000</v>
      </c>
      <c r="H36" s="35">
        <v>545000000000</v>
      </c>
    </row>
    <row r="37" spans="1:8" x14ac:dyDescent="0.3">
      <c r="A37" s="133" t="s">
        <v>42</v>
      </c>
      <c r="B37" s="35">
        <v>5000000000</v>
      </c>
      <c r="C37" s="35">
        <v>10000000000</v>
      </c>
      <c r="D37" s="35">
        <v>2000000000</v>
      </c>
      <c r="E37" s="35">
        <v>21000000000</v>
      </c>
      <c r="F37" s="35">
        <v>17000000000</v>
      </c>
      <c r="G37" s="35">
        <v>0</v>
      </c>
      <c r="H37" s="35">
        <v>55000000000</v>
      </c>
    </row>
    <row r="38" spans="1:8" x14ac:dyDescent="0.3">
      <c r="A38" s="133" t="s">
        <v>43</v>
      </c>
      <c r="B38" s="35">
        <v>62000000000</v>
      </c>
      <c r="C38" s="35">
        <v>83000000000</v>
      </c>
      <c r="D38" s="35">
        <v>35000000000</v>
      </c>
      <c r="E38" s="35">
        <v>324000000000</v>
      </c>
      <c r="F38" s="35">
        <v>173000000000</v>
      </c>
      <c r="G38" s="35">
        <v>5000000000</v>
      </c>
      <c r="H38" s="35">
        <v>681000000000</v>
      </c>
    </row>
    <row r="39" spans="1:8" x14ac:dyDescent="0.3">
      <c r="A39" s="133" t="s">
        <v>44</v>
      </c>
      <c r="B39" s="35">
        <v>26000000000</v>
      </c>
      <c r="C39" s="35">
        <v>59000000000</v>
      </c>
      <c r="D39" s="35">
        <v>12000000000</v>
      </c>
      <c r="E39" s="35">
        <v>109000000000</v>
      </c>
      <c r="F39" s="35">
        <v>65000000000</v>
      </c>
      <c r="G39" s="35">
        <v>1000000000</v>
      </c>
      <c r="H39" s="35">
        <v>272000000000</v>
      </c>
    </row>
    <row r="40" spans="1:8" x14ac:dyDescent="0.3">
      <c r="A40" s="133" t="s">
        <v>45</v>
      </c>
      <c r="B40" s="35">
        <v>20000000000</v>
      </c>
      <c r="C40" s="35">
        <v>20000000000</v>
      </c>
      <c r="D40" s="35">
        <v>11000000000</v>
      </c>
      <c r="E40" s="35">
        <v>99000000000</v>
      </c>
      <c r="F40" s="35">
        <v>65000000000</v>
      </c>
      <c r="G40" s="35">
        <v>2000000000</v>
      </c>
      <c r="H40" s="35">
        <v>216000000000</v>
      </c>
    </row>
    <row r="41" spans="1:8" x14ac:dyDescent="0.3">
      <c r="A41" s="133" t="s">
        <v>46</v>
      </c>
      <c r="B41" s="35">
        <v>45000000000</v>
      </c>
      <c r="C41" s="35">
        <v>110000000000</v>
      </c>
      <c r="D41" s="35">
        <v>41000000000</v>
      </c>
      <c r="E41" s="35">
        <v>355000000000</v>
      </c>
      <c r="F41" s="35">
        <v>176000000000</v>
      </c>
      <c r="G41" s="35">
        <v>5000000000</v>
      </c>
      <c r="H41" s="35">
        <v>732000000000</v>
      </c>
    </row>
    <row r="42" spans="1:8" x14ac:dyDescent="0.3">
      <c r="A42" s="133" t="s">
        <v>47</v>
      </c>
      <c r="B42" s="35">
        <v>9000000000</v>
      </c>
      <c r="C42" s="35">
        <v>7000000000</v>
      </c>
      <c r="D42" s="35">
        <v>3000000000</v>
      </c>
      <c r="E42" s="35">
        <v>29000000000</v>
      </c>
      <c r="F42" s="35">
        <v>13000000000</v>
      </c>
      <c r="G42" s="35">
        <v>0</v>
      </c>
      <c r="H42" s="35">
        <v>62000000000</v>
      </c>
    </row>
    <row r="43" spans="1:8" x14ac:dyDescent="0.3">
      <c r="A43" s="133" t="s">
        <v>48</v>
      </c>
      <c r="B43" s="35">
        <v>34000000000</v>
      </c>
      <c r="C43" s="35">
        <v>24000000000</v>
      </c>
      <c r="D43" s="35">
        <v>8000000000</v>
      </c>
      <c r="E43" s="35">
        <v>140000000000</v>
      </c>
      <c r="F43" s="35">
        <v>72000000000</v>
      </c>
      <c r="G43" s="35">
        <v>2000000000</v>
      </c>
      <c r="H43" s="35">
        <v>279000000000</v>
      </c>
    </row>
    <row r="44" spans="1:8" x14ac:dyDescent="0.3">
      <c r="A44" s="133" t="s">
        <v>49</v>
      </c>
      <c r="B44" s="35">
        <v>6000000000</v>
      </c>
      <c r="C44" s="35">
        <v>7000000000</v>
      </c>
      <c r="D44" s="35">
        <v>3000000000</v>
      </c>
      <c r="E44" s="35">
        <v>24000000000</v>
      </c>
      <c r="F44" s="35">
        <v>22000000000</v>
      </c>
      <c r="G44" s="35">
        <v>0</v>
      </c>
      <c r="H44" s="35">
        <v>62000000000</v>
      </c>
    </row>
    <row r="45" spans="1:8" x14ac:dyDescent="0.3">
      <c r="A45" s="133" t="s">
        <v>50</v>
      </c>
      <c r="B45" s="35">
        <v>45000000000</v>
      </c>
      <c r="C45" s="35">
        <v>28000000000</v>
      </c>
      <c r="D45" s="35">
        <v>10000000000</v>
      </c>
      <c r="E45" s="35">
        <v>186000000000</v>
      </c>
      <c r="F45" s="35">
        <v>96000000000</v>
      </c>
      <c r="G45" s="35">
        <v>3000000000</v>
      </c>
      <c r="H45" s="35">
        <v>368000000000</v>
      </c>
    </row>
    <row r="46" spans="1:8" x14ac:dyDescent="0.3">
      <c r="A46" s="133" t="s">
        <v>51</v>
      </c>
      <c r="B46" s="35">
        <v>203000000000</v>
      </c>
      <c r="C46" s="35">
        <v>339000000000</v>
      </c>
      <c r="D46" s="35">
        <v>44000000000</v>
      </c>
      <c r="E46" s="35">
        <v>789000000000</v>
      </c>
      <c r="F46" s="35">
        <v>382000000000</v>
      </c>
      <c r="G46" s="35">
        <v>13000000000</v>
      </c>
      <c r="H46" s="35">
        <v>1770000000000</v>
      </c>
    </row>
    <row r="47" spans="1:8" x14ac:dyDescent="0.3">
      <c r="A47" s="133" t="s">
        <v>53</v>
      </c>
      <c r="B47" s="35">
        <v>17000000000</v>
      </c>
      <c r="C47" s="35">
        <v>19000000000</v>
      </c>
      <c r="D47" s="35">
        <v>8000000000</v>
      </c>
      <c r="E47" s="35">
        <v>74000000000</v>
      </c>
      <c r="F47" s="35">
        <v>39000000000</v>
      </c>
      <c r="G47" s="35">
        <v>1000000000</v>
      </c>
      <c r="H47" s="35">
        <v>159000000000</v>
      </c>
    </row>
    <row r="48" spans="1:8" x14ac:dyDescent="0.3">
      <c r="A48" s="133" t="s">
        <v>54</v>
      </c>
      <c r="B48" s="35">
        <v>4000000000</v>
      </c>
      <c r="C48" s="35">
        <v>1000000000</v>
      </c>
      <c r="D48" s="35">
        <v>2000000000</v>
      </c>
      <c r="E48" s="35">
        <v>17000000000</v>
      </c>
      <c r="F48" s="35">
        <v>10000000000</v>
      </c>
      <c r="G48" s="35">
        <v>0</v>
      </c>
      <c r="H48" s="35">
        <v>35000000000</v>
      </c>
    </row>
    <row r="49" spans="1:8" x14ac:dyDescent="0.3">
      <c r="A49" s="133" t="s">
        <v>55</v>
      </c>
      <c r="B49" s="35">
        <v>43000000000</v>
      </c>
      <c r="C49" s="35">
        <v>51000000000</v>
      </c>
      <c r="D49" s="35">
        <v>13000000000</v>
      </c>
      <c r="E49" s="35">
        <v>234000000000</v>
      </c>
      <c r="F49" s="35">
        <v>119000000000</v>
      </c>
      <c r="G49" s="35">
        <v>4000000000</v>
      </c>
      <c r="H49" s="35">
        <v>464000000000</v>
      </c>
    </row>
    <row r="50" spans="1:8" x14ac:dyDescent="0.3">
      <c r="A50" s="133" t="s">
        <v>56</v>
      </c>
      <c r="B50" s="35">
        <v>37000000000</v>
      </c>
      <c r="C50" s="35">
        <v>28000000000</v>
      </c>
      <c r="D50" s="35">
        <v>20000000000</v>
      </c>
      <c r="E50" s="35">
        <v>177000000000</v>
      </c>
      <c r="F50" s="35">
        <v>117000000000</v>
      </c>
      <c r="G50" s="35">
        <v>4000000000</v>
      </c>
      <c r="H50" s="35">
        <v>383000000000</v>
      </c>
    </row>
    <row r="51" spans="1:8" x14ac:dyDescent="0.3">
      <c r="A51" s="133" t="s">
        <v>57</v>
      </c>
      <c r="B51" s="35">
        <v>10000000000</v>
      </c>
      <c r="C51" s="35">
        <v>16000000000</v>
      </c>
      <c r="D51" s="35">
        <v>3000000000</v>
      </c>
      <c r="E51" s="35">
        <v>50000000000</v>
      </c>
      <c r="F51" s="35">
        <v>30000000000</v>
      </c>
      <c r="G51" s="35">
        <v>1000000000</v>
      </c>
      <c r="H51" s="35">
        <v>109000000000</v>
      </c>
    </row>
    <row r="52" spans="1:8" x14ac:dyDescent="0.3">
      <c r="A52" s="133" t="s">
        <v>58</v>
      </c>
      <c r="B52" s="35">
        <v>32000000000</v>
      </c>
      <c r="C52" s="35">
        <v>42000000000</v>
      </c>
      <c r="D52" s="35">
        <v>17000000000</v>
      </c>
      <c r="E52" s="35">
        <v>161000000000</v>
      </c>
      <c r="F52" s="35">
        <v>92000000000</v>
      </c>
      <c r="G52" s="35">
        <v>2000000000</v>
      </c>
      <c r="H52" s="35">
        <v>347000000000</v>
      </c>
    </row>
    <row r="53" spans="1:8" x14ac:dyDescent="0.3">
      <c r="A53" s="133" t="s">
        <v>59</v>
      </c>
      <c r="B53" s="35">
        <v>5000000000</v>
      </c>
      <c r="C53" s="35">
        <v>11000000000</v>
      </c>
      <c r="D53" s="35">
        <v>2000000000</v>
      </c>
      <c r="E53" s="35">
        <v>14000000000</v>
      </c>
      <c r="F53" s="35">
        <v>17000000000</v>
      </c>
      <c r="G53" s="35">
        <v>0</v>
      </c>
      <c r="H53" s="35">
        <v>48000000000</v>
      </c>
    </row>
    <row r="54" spans="1:8" x14ac:dyDescent="0.3">
      <c r="A54" s="133" t="s">
        <v>351</v>
      </c>
      <c r="B54" s="35">
        <v>1750000000000</v>
      </c>
      <c r="C54" s="35">
        <v>2355000000000</v>
      </c>
      <c r="D54" s="35">
        <v>788000000000</v>
      </c>
      <c r="E54" s="35">
        <v>8688000000000</v>
      </c>
      <c r="F54" s="35">
        <v>4458000000000</v>
      </c>
      <c r="G54" s="35">
        <v>143000000000</v>
      </c>
      <c r="H54" s="35">
        <v>18185000000000</v>
      </c>
    </row>
  </sheetData>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6D89-AF3C-4700-868F-43B938CB646C}">
  <dimension ref="B2:P24"/>
  <sheetViews>
    <sheetView workbookViewId="0">
      <selection activeCell="O19" sqref="O19"/>
    </sheetView>
  </sheetViews>
  <sheetFormatPr defaultRowHeight="14.4" x14ac:dyDescent="0.3"/>
  <cols>
    <col min="6" max="6" width="12.5546875" bestFit="1" customWidth="1"/>
  </cols>
  <sheetData>
    <row r="2" spans="2:16" ht="18" x14ac:dyDescent="0.35">
      <c r="B2" s="138" t="s">
        <v>464</v>
      </c>
    </row>
    <row r="3" spans="2:16" x14ac:dyDescent="0.3">
      <c r="B3" s="137" t="s">
        <v>463</v>
      </c>
    </row>
    <row r="4" spans="2:16" x14ac:dyDescent="0.3">
      <c r="C4" t="s">
        <v>385</v>
      </c>
    </row>
    <row r="5" spans="2:16" x14ac:dyDescent="0.3">
      <c r="C5" t="s">
        <v>361</v>
      </c>
    </row>
    <row r="6" spans="2:16" x14ac:dyDescent="0.3">
      <c r="C6" s="36" t="s">
        <v>473</v>
      </c>
      <c r="D6" s="36"/>
      <c r="E6" s="36"/>
      <c r="F6" s="36"/>
      <c r="G6" s="36"/>
      <c r="H6" s="36"/>
      <c r="I6" s="36"/>
      <c r="J6" s="36"/>
      <c r="K6" s="36"/>
      <c r="L6" s="36"/>
      <c r="M6" s="36"/>
      <c r="N6" s="36"/>
      <c r="O6" s="36"/>
      <c r="P6" s="36"/>
    </row>
    <row r="7" spans="2:16" x14ac:dyDescent="0.3">
      <c r="C7" s="108" t="s">
        <v>472</v>
      </c>
      <c r="D7" s="108"/>
      <c r="E7" s="108"/>
    </row>
    <row r="8" spans="2:16" x14ac:dyDescent="0.3">
      <c r="B8" t="s">
        <v>358</v>
      </c>
    </row>
    <row r="9" spans="2:16" x14ac:dyDescent="0.3">
      <c r="C9" t="s">
        <v>354</v>
      </c>
      <c r="F9" s="36">
        <v>1</v>
      </c>
      <c r="G9" t="s">
        <v>370</v>
      </c>
      <c r="H9" t="s">
        <v>465</v>
      </c>
    </row>
    <row r="10" spans="2:16" x14ac:dyDescent="0.3">
      <c r="C10" t="s">
        <v>355</v>
      </c>
      <c r="F10" s="129">
        <f>F9*1.037*10^6</f>
        <v>1036999.9999999999</v>
      </c>
      <c r="H10" t="s">
        <v>466</v>
      </c>
    </row>
    <row r="11" spans="2:16" x14ac:dyDescent="0.3">
      <c r="C11" t="s">
        <v>356</v>
      </c>
      <c r="F11" s="64">
        <f>F10/24</f>
        <v>43208.333333333328</v>
      </c>
      <c r="H11" t="s">
        <v>467</v>
      </c>
    </row>
    <row r="12" spans="2:16" x14ac:dyDescent="0.3">
      <c r="C12" t="s">
        <v>357</v>
      </c>
      <c r="F12">
        <f>(F11/3412)/10^6</f>
        <v>1.2663638139898395E-5</v>
      </c>
      <c r="H12" t="s">
        <v>468</v>
      </c>
    </row>
    <row r="13" spans="2:16" x14ac:dyDescent="0.3">
      <c r="C13" t="s">
        <v>365</v>
      </c>
      <c r="F13" s="130">
        <f>F12*10^6</f>
        <v>12.663638139898396</v>
      </c>
      <c r="H13" t="s">
        <v>469</v>
      </c>
    </row>
    <row r="14" spans="2:16" x14ac:dyDescent="0.3">
      <c r="C14" t="s">
        <v>364</v>
      </c>
      <c r="F14" s="126">
        <f>F13*(('Cost Data'!C4*3)+'Cost Data'!C5+'Cost Data'!C6)</f>
        <v>95027.940601797556</v>
      </c>
      <c r="H14" t="s">
        <v>470</v>
      </c>
    </row>
    <row r="15" spans="2:16" x14ac:dyDescent="0.3">
      <c r="B15" t="s">
        <v>359</v>
      </c>
    </row>
    <row r="16" spans="2:16" x14ac:dyDescent="0.3">
      <c r="C16" t="s">
        <v>363</v>
      </c>
      <c r="F16" s="36">
        <v>1</v>
      </c>
      <c r="H16" t="s">
        <v>465</v>
      </c>
    </row>
    <row r="17" spans="2:8" x14ac:dyDescent="0.3">
      <c r="C17" t="s">
        <v>366</v>
      </c>
      <c r="F17" s="125">
        <f>F16*'Cost Data'!C13</f>
        <v>10000</v>
      </c>
      <c r="H17" t="s">
        <v>470</v>
      </c>
    </row>
    <row r="18" spans="2:8" x14ac:dyDescent="0.3">
      <c r="C18" t="s">
        <v>368</v>
      </c>
      <c r="F18" s="126">
        <f>F17*F16</f>
        <v>10000</v>
      </c>
    </row>
    <row r="19" spans="2:8" x14ac:dyDescent="0.3">
      <c r="B19" t="s">
        <v>360</v>
      </c>
    </row>
    <row r="20" spans="2:8" x14ac:dyDescent="0.3">
      <c r="C20" t="s">
        <v>362</v>
      </c>
      <c r="F20" s="36">
        <v>1</v>
      </c>
      <c r="H20" t="s">
        <v>465</v>
      </c>
    </row>
    <row r="21" spans="2:8" x14ac:dyDescent="0.3">
      <c r="C21" t="s">
        <v>367</v>
      </c>
      <c r="F21" s="126">
        <f>F20*'Cost Data'!C15</f>
        <v>100</v>
      </c>
      <c r="H21" t="s">
        <v>470</v>
      </c>
    </row>
    <row r="22" spans="2:8" x14ac:dyDescent="0.3">
      <c r="C22" t="s">
        <v>368</v>
      </c>
      <c r="F22" s="126">
        <f>F20*F21</f>
        <v>100</v>
      </c>
    </row>
    <row r="24" spans="2:8" x14ac:dyDescent="0.3">
      <c r="B24" t="s">
        <v>319</v>
      </c>
      <c r="F24" s="124">
        <f>F14+F17+F21</f>
        <v>105127.94060179756</v>
      </c>
      <c r="H24" t="s">
        <v>471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9224-9310-4F02-AF89-33BDB44320AB}">
  <dimension ref="A1:E54"/>
  <sheetViews>
    <sheetView tabSelected="1" workbookViewId="0">
      <selection activeCell="B4" sqref="B4:E53"/>
    </sheetView>
  </sheetViews>
  <sheetFormatPr defaultRowHeight="14.4" x14ac:dyDescent="0.3"/>
  <cols>
    <col min="1" max="1" width="14" style="64" bestFit="1" customWidth="1"/>
    <col min="2" max="2" width="17.6640625" style="64" bestFit="1" customWidth="1"/>
    <col min="3" max="3" width="19.44140625" style="64" bestFit="1" customWidth="1"/>
    <col min="4" max="4" width="16.6640625" style="64" bestFit="1" customWidth="1"/>
    <col min="5" max="5" width="20.109375" style="64" bestFit="1" customWidth="1"/>
    <col min="6" max="16384" width="8.88671875" style="64"/>
  </cols>
  <sheetData>
    <row r="1" spans="1:5" ht="15" thickBot="1" x14ac:dyDescent="0.35">
      <c r="B1" s="64" t="s">
        <v>475</v>
      </c>
    </row>
    <row r="2" spans="1:5" ht="15" thickBot="1" x14ac:dyDescent="0.35">
      <c r="B2" s="167" t="s">
        <v>384</v>
      </c>
      <c r="C2" s="168"/>
      <c r="D2" s="168"/>
      <c r="E2" s="169"/>
    </row>
    <row r="3" spans="1:5" x14ac:dyDescent="0.3">
      <c r="A3" s="122" t="s">
        <v>377</v>
      </c>
      <c r="B3" s="64" t="s">
        <v>379</v>
      </c>
      <c r="C3" s="64" t="s">
        <v>381</v>
      </c>
      <c r="D3" s="64" t="s">
        <v>382</v>
      </c>
      <c r="E3" s="64" t="s">
        <v>383</v>
      </c>
    </row>
    <row r="4" spans="1:5" x14ac:dyDescent="0.3">
      <c r="A4" s="123" t="s">
        <v>9</v>
      </c>
      <c r="B4" s="35">
        <v>9895.5865781213852</v>
      </c>
      <c r="C4" s="35">
        <v>131.39708101107465</v>
      </c>
      <c r="D4" s="35">
        <v>4974.0928731726435</v>
      </c>
      <c r="E4" s="35">
        <v>9700.4671937855983</v>
      </c>
    </row>
    <row r="5" spans="1:5" x14ac:dyDescent="0.3">
      <c r="A5" s="123" t="s">
        <v>10</v>
      </c>
      <c r="B5" s="35">
        <v>3023.0726899637084</v>
      </c>
      <c r="C5" s="35">
        <v>188.25764480080727</v>
      </c>
      <c r="D5" s="35">
        <v>3074.3843587438032</v>
      </c>
      <c r="E5" s="35">
        <v>1068.7674751998502</v>
      </c>
    </row>
    <row r="6" spans="1:5" x14ac:dyDescent="0.3">
      <c r="A6" s="123" t="s">
        <v>11</v>
      </c>
      <c r="B6" s="35">
        <v>7308.1812302584094</v>
      </c>
      <c r="C6" s="35">
        <v>144.83368040051215</v>
      </c>
      <c r="D6" s="35">
        <v>2725.9037547520229</v>
      </c>
      <c r="E6" s="35">
        <v>11480.476487877362</v>
      </c>
    </row>
    <row r="7" spans="1:5" x14ac:dyDescent="0.3">
      <c r="A7" s="123" t="s">
        <v>12</v>
      </c>
      <c r="B7" s="35">
        <v>4198.8161938945932</v>
      </c>
      <c r="C7" s="35">
        <v>128.45228334828514</v>
      </c>
      <c r="D7" s="35">
        <v>2717.4714189376182</v>
      </c>
      <c r="E7" s="35">
        <v>5586.5148152868969</v>
      </c>
    </row>
    <row r="8" spans="1:5" x14ac:dyDescent="0.3">
      <c r="A8" s="123" t="s">
        <v>13</v>
      </c>
      <c r="B8" s="35">
        <v>6358.8827750847086</v>
      </c>
      <c r="C8" s="35">
        <v>494.44956859588467</v>
      </c>
      <c r="D8" s="35">
        <v>1543.2375140416129</v>
      </c>
      <c r="E8" s="35">
        <v>54033.769242787384</v>
      </c>
    </row>
    <row r="9" spans="1:5" x14ac:dyDescent="0.3">
      <c r="A9" s="123" t="s">
        <v>14</v>
      </c>
      <c r="B9" s="35">
        <v>4860.8321920349163</v>
      </c>
      <c r="C9" s="35">
        <v>115.54861386846538</v>
      </c>
      <c r="D9" s="35">
        <v>948.03351139485119</v>
      </c>
      <c r="E9" s="35">
        <v>9248.9576541363858</v>
      </c>
    </row>
    <row r="10" spans="1:5" x14ac:dyDescent="0.3">
      <c r="A10" s="123" t="s">
        <v>15</v>
      </c>
      <c r="B10" s="35">
        <v>3306.2542696148575</v>
      </c>
      <c r="C10" s="35">
        <v>338.67586782472387</v>
      </c>
      <c r="D10" s="35">
        <v>667.23486298555542</v>
      </c>
      <c r="E10" s="35">
        <v>6079.247216701001</v>
      </c>
    </row>
    <row r="11" spans="1:5" x14ac:dyDescent="0.3">
      <c r="A11" s="123" t="s">
        <v>16</v>
      </c>
      <c r="B11" s="35">
        <v>4260.354853064453</v>
      </c>
      <c r="C11" s="35">
        <v>262.92996354611552</v>
      </c>
      <c r="D11" s="35">
        <v>1889.4559222951823</v>
      </c>
      <c r="E11" s="35">
        <v>2149.3525397434159</v>
      </c>
    </row>
    <row r="12" spans="1:5" x14ac:dyDescent="0.3">
      <c r="A12" s="123" t="s">
        <v>17</v>
      </c>
      <c r="B12" s="35">
        <v>10391.735591192924</v>
      </c>
      <c r="C12" s="35">
        <v>181.56644161028237</v>
      </c>
      <c r="D12" s="35">
        <v>17734.860339238978</v>
      </c>
      <c r="E12" s="35">
        <v>27644.919029315701</v>
      </c>
    </row>
    <row r="13" spans="1:5" x14ac:dyDescent="0.3">
      <c r="A13" s="123" t="s">
        <v>18</v>
      </c>
      <c r="B13" s="35">
        <v>8221.7050009623745</v>
      </c>
      <c r="C13" s="35">
        <v>180.71459990532011</v>
      </c>
      <c r="D13" s="35">
        <v>1533.6997863923862</v>
      </c>
      <c r="E13" s="35">
        <v>18795.68067534723</v>
      </c>
    </row>
    <row r="14" spans="1:5" x14ac:dyDescent="0.3">
      <c r="A14" s="123" t="s">
        <v>19</v>
      </c>
      <c r="B14" s="35">
        <v>10306.079385471214</v>
      </c>
      <c r="C14" s="35">
        <v>103.42758356089331</v>
      </c>
      <c r="D14" s="35">
        <v>9263.7745144242617</v>
      </c>
      <c r="E14" s="35">
        <v>1937.25244026773</v>
      </c>
    </row>
    <row r="15" spans="1:5" x14ac:dyDescent="0.3">
      <c r="A15" s="123" t="s">
        <v>20</v>
      </c>
      <c r="B15" s="35">
        <v>4055.0197910113307</v>
      </c>
      <c r="C15" s="35">
        <v>1553.8503053235399</v>
      </c>
      <c r="D15" s="35">
        <v>1144.310587131635</v>
      </c>
      <c r="E15" s="35">
        <v>3113.2580005879531</v>
      </c>
    </row>
    <row r="16" spans="1:5" x14ac:dyDescent="0.3">
      <c r="A16" s="123" t="s">
        <v>21</v>
      </c>
      <c r="B16" s="35">
        <v>3600.825489683783</v>
      </c>
      <c r="C16" s="35">
        <v>170.3951061732273</v>
      </c>
      <c r="D16" s="35">
        <v>743.82216939775083</v>
      </c>
      <c r="E16" s="35">
        <v>17835.277931651628</v>
      </c>
    </row>
    <row r="17" spans="1:5" x14ac:dyDescent="0.3">
      <c r="A17" s="123" t="s">
        <v>22</v>
      </c>
      <c r="B17" s="35">
        <v>5338.2656453786985</v>
      </c>
      <c r="C17" s="35">
        <v>75.811774618465776</v>
      </c>
      <c r="D17" s="35">
        <v>1499.7579843697476</v>
      </c>
      <c r="E17" s="35">
        <v>11695.804598407694</v>
      </c>
    </row>
    <row r="18" spans="1:5" x14ac:dyDescent="0.3">
      <c r="A18" s="123" t="s">
        <v>23</v>
      </c>
      <c r="B18" s="35">
        <v>3930.4028007657889</v>
      </c>
      <c r="C18" s="35">
        <v>128.15634211738237</v>
      </c>
      <c r="D18" s="35">
        <v>1436.2333412479181</v>
      </c>
      <c r="E18" s="35">
        <v>4554.809799662602</v>
      </c>
    </row>
    <row r="19" spans="1:5" x14ac:dyDescent="0.3">
      <c r="A19" s="123" t="s">
        <v>24</v>
      </c>
      <c r="B19" s="35">
        <v>4822.4796810923681</v>
      </c>
      <c r="C19" s="35">
        <v>138.31150011667225</v>
      </c>
      <c r="D19" s="35">
        <v>1288.8826114423944</v>
      </c>
      <c r="E19" s="35">
        <v>6303.898760710339</v>
      </c>
    </row>
    <row r="20" spans="1:5" x14ac:dyDescent="0.3">
      <c r="A20" s="123" t="s">
        <v>25</v>
      </c>
      <c r="B20" s="35">
        <v>5845.4864365796966</v>
      </c>
      <c r="C20" s="35">
        <v>84.029997671910749</v>
      </c>
      <c r="D20" s="35">
        <v>1504.1442492915623</v>
      </c>
      <c r="E20" s="35">
        <v>7810.8835039255682</v>
      </c>
    </row>
    <row r="21" spans="1:5" x14ac:dyDescent="0.3">
      <c r="A21" s="123" t="s">
        <v>26</v>
      </c>
      <c r="B21" s="35">
        <v>15092.109018718744</v>
      </c>
      <c r="C21" s="35">
        <v>148.68113254440377</v>
      </c>
      <c r="D21" s="35">
        <v>11578.547911260468</v>
      </c>
      <c r="E21" s="35">
        <v>10642.843696367185</v>
      </c>
    </row>
    <row r="22" spans="1:5" x14ac:dyDescent="0.3">
      <c r="A22" s="123" t="s">
        <v>27</v>
      </c>
      <c r="B22" s="35">
        <v>2677.658408040837</v>
      </c>
      <c r="C22" s="35">
        <v>625.5215850967885</v>
      </c>
      <c r="D22" s="35">
        <v>361.08998912192953</v>
      </c>
      <c r="E22" s="35">
        <v>2929.6054648514591</v>
      </c>
    </row>
    <row r="23" spans="1:5" x14ac:dyDescent="0.3">
      <c r="A23" s="123" t="s">
        <v>28</v>
      </c>
      <c r="B23" s="35">
        <v>3797.2747272977617</v>
      </c>
      <c r="C23" s="35">
        <v>280.53607920687796</v>
      </c>
      <c r="D23" s="35">
        <v>872.60486356171782</v>
      </c>
      <c r="E23" s="35">
        <v>7596.6638061293961</v>
      </c>
    </row>
    <row r="24" spans="1:5" x14ac:dyDescent="0.3">
      <c r="A24" s="123" t="s">
        <v>29</v>
      </c>
      <c r="B24" s="35">
        <v>3542.793387552038</v>
      </c>
      <c r="C24" s="35">
        <v>400.19977224691513</v>
      </c>
      <c r="D24" s="35">
        <v>699.87636330706107</v>
      </c>
      <c r="E24" s="35">
        <v>9150.6404605938296</v>
      </c>
    </row>
    <row r="25" spans="1:5" x14ac:dyDescent="0.3">
      <c r="A25" s="123" t="s">
        <v>30</v>
      </c>
      <c r="B25" s="35">
        <v>3790.2604751380318</v>
      </c>
      <c r="C25" s="35">
        <v>133.95909998851562</v>
      </c>
      <c r="D25" s="35">
        <v>758.34575240077834</v>
      </c>
      <c r="E25" s="35">
        <v>17709.347939276831</v>
      </c>
    </row>
    <row r="26" spans="1:5" x14ac:dyDescent="0.3">
      <c r="A26" s="123" t="s">
        <v>31</v>
      </c>
      <c r="B26" s="35">
        <v>3376.4563353513618</v>
      </c>
      <c r="C26" s="35">
        <v>213.57765824416589</v>
      </c>
      <c r="D26" s="35">
        <v>938.67761638807508</v>
      </c>
      <c r="E26" s="35">
        <v>8769.7418636004131</v>
      </c>
    </row>
    <row r="27" spans="1:5" x14ac:dyDescent="0.3">
      <c r="A27" s="123" t="s">
        <v>32</v>
      </c>
      <c r="B27" s="35">
        <v>9616.2730630392562</v>
      </c>
      <c r="C27" s="35">
        <v>155.38706378120503</v>
      </c>
      <c r="D27" s="35">
        <v>5092.3734913057879</v>
      </c>
      <c r="E27" s="35">
        <v>6461.1355366851385</v>
      </c>
    </row>
    <row r="28" spans="1:5" x14ac:dyDescent="0.3">
      <c r="A28" s="123" t="s">
        <v>33</v>
      </c>
      <c r="B28" s="35">
        <v>4750.8410889930183</v>
      </c>
      <c r="C28" s="35">
        <v>100.51133711194245</v>
      </c>
      <c r="D28" s="35">
        <v>759.43777837702032</v>
      </c>
      <c r="E28" s="35">
        <v>11085.178226989452</v>
      </c>
    </row>
    <row r="29" spans="1:5" x14ac:dyDescent="0.3">
      <c r="A29" s="123" t="s">
        <v>34</v>
      </c>
      <c r="B29" s="35">
        <v>2553.2965313515633</v>
      </c>
      <c r="C29" s="35">
        <v>71.034270443479215</v>
      </c>
      <c r="D29" s="35">
        <v>892.45037733356821</v>
      </c>
      <c r="E29" s="35">
        <v>3167.7854851518646</v>
      </c>
    </row>
    <row r="30" spans="1:5" x14ac:dyDescent="0.3">
      <c r="A30" s="123" t="s">
        <v>35</v>
      </c>
      <c r="B30" s="35">
        <v>4091.3614128829927</v>
      </c>
      <c r="C30" s="35">
        <v>106.20765508219898</v>
      </c>
      <c r="D30" s="35">
        <v>1219.3668799064997</v>
      </c>
      <c r="E30" s="35">
        <v>3334.5778332532568</v>
      </c>
    </row>
    <row r="31" spans="1:5" x14ac:dyDescent="0.3">
      <c r="A31" s="123" t="s">
        <v>36</v>
      </c>
      <c r="B31" s="35">
        <v>4807.053638079261</v>
      </c>
      <c r="C31" s="35">
        <v>206.80279791361141</v>
      </c>
      <c r="D31" s="35">
        <v>1977.8991494665822</v>
      </c>
      <c r="E31" s="35">
        <v>4712.1674987180004</v>
      </c>
    </row>
    <row r="32" spans="1:5" x14ac:dyDescent="0.3">
      <c r="A32" s="123" t="s">
        <v>37</v>
      </c>
      <c r="B32" s="35">
        <v>3186.9193481723987</v>
      </c>
      <c r="C32" s="35">
        <v>382.70600020181564</v>
      </c>
      <c r="D32" s="35">
        <v>436.96893393793948</v>
      </c>
      <c r="E32" s="35">
        <v>2404.3159644242546</v>
      </c>
    </row>
    <row r="33" spans="1:5" x14ac:dyDescent="0.3">
      <c r="A33" s="123" t="s">
        <v>38</v>
      </c>
      <c r="B33" s="35">
        <v>3357.1510741143875</v>
      </c>
      <c r="C33" s="35">
        <v>283.14613629857377</v>
      </c>
      <c r="D33" s="35">
        <v>877.73094765586302</v>
      </c>
      <c r="E33" s="35">
        <v>14035.702886185152</v>
      </c>
    </row>
    <row r="34" spans="1:5" x14ac:dyDescent="0.3">
      <c r="A34" s="123" t="s">
        <v>39</v>
      </c>
      <c r="B34" s="35">
        <v>4702.9888471532631</v>
      </c>
      <c r="C34" s="35">
        <v>82.748915611991379</v>
      </c>
      <c r="D34" s="35">
        <v>1713.8495020554676</v>
      </c>
      <c r="E34" s="35">
        <v>4121.4074042995298</v>
      </c>
    </row>
    <row r="35" spans="1:5" x14ac:dyDescent="0.3">
      <c r="A35" s="123" t="s">
        <v>40</v>
      </c>
      <c r="B35" s="35">
        <v>3238.2037832794913</v>
      </c>
      <c r="C35" s="35">
        <v>427.72523293089557</v>
      </c>
      <c r="D35" s="35">
        <v>728.10464632461401</v>
      </c>
      <c r="E35" s="35">
        <v>21040.726705409557</v>
      </c>
    </row>
    <row r="36" spans="1:5" x14ac:dyDescent="0.3">
      <c r="A36" s="123" t="s">
        <v>41</v>
      </c>
      <c r="B36" s="35">
        <v>6663.8858256496223</v>
      </c>
      <c r="C36" s="35">
        <v>181.39924245181209</v>
      </c>
      <c r="D36" s="35">
        <v>1587.7574357112169</v>
      </c>
      <c r="E36" s="35">
        <v>16898.539338765229</v>
      </c>
    </row>
    <row r="37" spans="1:5" x14ac:dyDescent="0.3">
      <c r="A37" s="123" t="s">
        <v>42</v>
      </c>
      <c r="B37" s="35">
        <v>3537.1905466347916</v>
      </c>
      <c r="C37" s="35">
        <v>58.89153442748264</v>
      </c>
      <c r="D37" s="35">
        <v>1811.7119498773613</v>
      </c>
      <c r="E37" s="35">
        <v>1682.9805344529552</v>
      </c>
    </row>
    <row r="38" spans="1:5" x14ac:dyDescent="0.3">
      <c r="A38" s="123" t="s">
        <v>43</v>
      </c>
      <c r="B38" s="35">
        <v>4041.7680355925354</v>
      </c>
      <c r="C38" s="35">
        <v>121.76814197219699</v>
      </c>
      <c r="D38" s="35">
        <v>960.9357759190998</v>
      </c>
      <c r="E38" s="35">
        <v>18436.049624518269</v>
      </c>
    </row>
    <row r="39" spans="1:5" x14ac:dyDescent="0.3">
      <c r="A39" s="123" t="s">
        <v>44</v>
      </c>
      <c r="B39" s="35">
        <v>6511.2366769585724</v>
      </c>
      <c r="C39" s="35">
        <v>133.13471031234531</v>
      </c>
      <c r="D39" s="35">
        <v>3028.9305523931471</v>
      </c>
      <c r="E39" s="35">
        <v>7928.8521752841662</v>
      </c>
    </row>
    <row r="40" spans="1:5" x14ac:dyDescent="0.3">
      <c r="A40" s="123" t="s">
        <v>45</v>
      </c>
      <c r="B40" s="35">
        <v>6033.7945497480259</v>
      </c>
      <c r="C40" s="35">
        <v>540.7540388708743</v>
      </c>
      <c r="D40" s="35">
        <v>1616.4529539987018</v>
      </c>
      <c r="E40" s="35">
        <v>6147.8725306466986</v>
      </c>
    </row>
    <row r="41" spans="1:5" x14ac:dyDescent="0.3">
      <c r="A41" s="123" t="s">
        <v>46</v>
      </c>
      <c r="B41" s="35">
        <v>4843.2637331163296</v>
      </c>
      <c r="C41" s="35">
        <v>141.99362335088483</v>
      </c>
      <c r="D41" s="35">
        <v>1097.0355406718868</v>
      </c>
      <c r="E41" s="35">
        <v>13344.348937538538</v>
      </c>
    </row>
    <row r="42" spans="1:5" x14ac:dyDescent="0.3">
      <c r="A42" s="123" t="s">
        <v>47</v>
      </c>
      <c r="B42" s="35">
        <v>4627.989296054182</v>
      </c>
      <c r="C42" s="35">
        <v>240.70500625146016</v>
      </c>
      <c r="D42" s="35">
        <v>765.93528793367659</v>
      </c>
      <c r="E42" s="35">
        <v>2895.0991934585813</v>
      </c>
    </row>
    <row r="43" spans="1:5" x14ac:dyDescent="0.3">
      <c r="A43" s="123" t="s">
        <v>48</v>
      </c>
      <c r="B43" s="35">
        <v>8068.0437927361472</v>
      </c>
      <c r="C43" s="35">
        <v>193.38894229140186</v>
      </c>
      <c r="D43" s="35">
        <v>2402.524377553897</v>
      </c>
      <c r="E43" s="35">
        <v>10095.901678491289</v>
      </c>
    </row>
    <row r="44" spans="1:5" x14ac:dyDescent="0.3">
      <c r="A44" s="123" t="s">
        <v>49</v>
      </c>
      <c r="B44" s="35">
        <v>4726.3633663469755</v>
      </c>
      <c r="C44" s="35">
        <v>400.02824991264555</v>
      </c>
      <c r="D44" s="35">
        <v>1367.3210705915194</v>
      </c>
      <c r="E44" s="35">
        <v>2008.8123261443911</v>
      </c>
    </row>
    <row r="45" spans="1:5" x14ac:dyDescent="0.3">
      <c r="A45" s="123" t="s">
        <v>50</v>
      </c>
      <c r="B45" s="35">
        <v>6160.0082509817394</v>
      </c>
      <c r="C45" s="35">
        <v>207.65170548172128</v>
      </c>
      <c r="D45" s="35">
        <v>1421.3864420140858</v>
      </c>
      <c r="E45" s="35">
        <v>13360.016615808974</v>
      </c>
    </row>
    <row r="46" spans="1:5" x14ac:dyDescent="0.3">
      <c r="A46" s="123" t="s">
        <v>51</v>
      </c>
      <c r="B46" s="35">
        <v>10164.036764144706</v>
      </c>
      <c r="C46" s="35">
        <v>155.09090432464453</v>
      </c>
      <c r="D46" s="35">
        <v>4999.3087064047249</v>
      </c>
      <c r="E46" s="35">
        <v>59509.574972747374</v>
      </c>
    </row>
    <row r="47" spans="1:5" x14ac:dyDescent="0.3">
      <c r="A47" s="123" t="s">
        <v>53</v>
      </c>
      <c r="B47" s="35">
        <v>3914.6742254550309</v>
      </c>
      <c r="C47" s="35">
        <v>68.738794763172038</v>
      </c>
      <c r="D47" s="35">
        <v>1000.631966188925</v>
      </c>
      <c r="E47" s="35">
        <v>5233.2437895142866</v>
      </c>
    </row>
    <row r="48" spans="1:5" x14ac:dyDescent="0.3">
      <c r="A48" s="123" t="s">
        <v>54</v>
      </c>
      <c r="B48" s="35">
        <v>2207.2532534527468</v>
      </c>
      <c r="C48" s="35">
        <v>110034.97980527811</v>
      </c>
      <c r="D48" s="35">
        <v>271.17568592897339</v>
      </c>
      <c r="E48" s="35">
        <v>1461.5929331476721</v>
      </c>
    </row>
    <row r="49" spans="1:5" x14ac:dyDescent="0.3">
      <c r="A49" s="123" t="s">
        <v>55</v>
      </c>
      <c r="B49" s="35">
        <v>5357.801635963845</v>
      </c>
      <c r="C49" s="35">
        <v>268.64381065879178</v>
      </c>
      <c r="D49" s="35">
        <v>1527.969988996937</v>
      </c>
      <c r="E49" s="35">
        <v>12756.13464695211</v>
      </c>
    </row>
    <row r="50" spans="1:5" x14ac:dyDescent="0.3">
      <c r="A50" s="123" t="s">
        <v>56</v>
      </c>
      <c r="B50" s="35">
        <v>4997.9717241813696</v>
      </c>
      <c r="C50" s="35">
        <v>814.04758564426299</v>
      </c>
      <c r="D50" s="35">
        <v>1194.0088602159287</v>
      </c>
      <c r="E50" s="35">
        <v>10984.769498278827</v>
      </c>
    </row>
    <row r="51" spans="1:5" x14ac:dyDescent="0.3">
      <c r="A51" s="123" t="s">
        <v>57</v>
      </c>
      <c r="B51" s="35">
        <v>4392.6053924699545</v>
      </c>
      <c r="C51" s="35">
        <v>38.175993617528796</v>
      </c>
      <c r="D51" s="35">
        <v>1652.4069238225609</v>
      </c>
      <c r="E51" s="35">
        <v>3054.9294735337139</v>
      </c>
    </row>
    <row r="52" spans="1:5" x14ac:dyDescent="0.3">
      <c r="A52" s="123" t="s">
        <v>58</v>
      </c>
      <c r="B52" s="35">
        <v>3776.8682697427366</v>
      </c>
      <c r="C52" s="35">
        <v>143.783635726082</v>
      </c>
      <c r="D52" s="35">
        <v>914.13292603717071</v>
      </c>
      <c r="E52" s="35">
        <v>9716.0858195877281</v>
      </c>
    </row>
    <row r="53" spans="1:5" x14ac:dyDescent="0.3">
      <c r="A53" s="123" t="s">
        <v>59</v>
      </c>
      <c r="B53" s="35">
        <v>2680.152163547843</v>
      </c>
      <c r="C53" s="35">
        <v>33.426326203763423</v>
      </c>
      <c r="D53" s="35">
        <v>2064.4687531218692</v>
      </c>
      <c r="E53" s="35">
        <v>1617.6081524502622</v>
      </c>
    </row>
    <row r="54" spans="1:5" x14ac:dyDescent="0.3">
      <c r="A54" s="123" t="s">
        <v>351</v>
      </c>
      <c r="B54" s="35">
        <v>265009.52924611681</v>
      </c>
      <c r="C54" s="35">
        <v>121816.15514273611</v>
      </c>
      <c r="D54" s="35">
        <v>113280.71919904502</v>
      </c>
      <c r="E54" s="35">
        <v>523333.59037865058</v>
      </c>
    </row>
  </sheetData>
  <mergeCells count="1">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5243A-E4DD-42F1-B77C-486BB82BF6A6}">
  <dimension ref="A1:L15"/>
  <sheetViews>
    <sheetView workbookViewId="0">
      <selection activeCell="E12" sqref="E12:I12"/>
    </sheetView>
  </sheetViews>
  <sheetFormatPr defaultColWidth="14.44140625" defaultRowHeight="14.4" x14ac:dyDescent="0.3"/>
  <cols>
    <col min="1" max="11" width="14.44140625" style="12"/>
    <col min="12" max="12" width="31.5546875" style="12" customWidth="1"/>
    <col min="13" max="16384" width="14.44140625" style="12"/>
  </cols>
  <sheetData>
    <row r="1" spans="1:12" ht="21" customHeight="1" x14ac:dyDescent="0.3">
      <c r="A1" s="12" t="s">
        <v>331</v>
      </c>
      <c r="B1" s="171"/>
      <c r="C1" s="171"/>
      <c r="D1" s="171"/>
      <c r="E1" s="171"/>
      <c r="F1" s="171"/>
      <c r="G1" s="171"/>
      <c r="H1" s="171"/>
      <c r="I1" s="171"/>
    </row>
    <row r="2" spans="1:12" x14ac:dyDescent="0.3">
      <c r="A2" s="12" t="s">
        <v>332</v>
      </c>
    </row>
    <row r="3" spans="1:12" x14ac:dyDescent="0.3">
      <c r="C3" s="12" t="s">
        <v>335</v>
      </c>
      <c r="E3" s="12" t="s">
        <v>477</v>
      </c>
      <c r="L3" s="12" t="s">
        <v>548</v>
      </c>
    </row>
    <row r="4" spans="1:12" ht="28.2" customHeight="1" x14ac:dyDescent="0.3">
      <c r="B4" s="12" t="s">
        <v>333</v>
      </c>
      <c r="C4" s="12">
        <v>1694</v>
      </c>
      <c r="E4" s="170" t="s">
        <v>544</v>
      </c>
      <c r="F4" s="170"/>
      <c r="G4" s="170"/>
      <c r="H4" s="170"/>
      <c r="I4" s="170"/>
      <c r="J4" s="170"/>
      <c r="L4" s="12" t="s">
        <v>549</v>
      </c>
    </row>
    <row r="5" spans="1:12" x14ac:dyDescent="0.3">
      <c r="B5" s="12" t="s">
        <v>334</v>
      </c>
      <c r="C5" s="12">
        <v>1850</v>
      </c>
      <c r="E5" s="12" t="s">
        <v>543</v>
      </c>
    </row>
    <row r="6" spans="1:12" ht="27" customHeight="1" x14ac:dyDescent="0.3">
      <c r="B6" s="12" t="s">
        <v>336</v>
      </c>
      <c r="C6" s="12">
        <v>572</v>
      </c>
      <c r="E6" s="170" t="s">
        <v>542</v>
      </c>
      <c r="F6" s="170"/>
      <c r="G6" s="170"/>
      <c r="H6" s="170"/>
      <c r="I6" s="170"/>
      <c r="J6" s="170"/>
    </row>
    <row r="7" spans="1:12" ht="28.2" customHeight="1" x14ac:dyDescent="0.3">
      <c r="B7" s="12" t="s">
        <v>553</v>
      </c>
      <c r="C7" s="12">
        <f>1822+750</f>
        <v>2572</v>
      </c>
      <c r="E7" s="170" t="s">
        <v>541</v>
      </c>
      <c r="F7" s="170"/>
      <c r="G7" s="170"/>
      <c r="H7" s="170"/>
      <c r="I7" s="170"/>
      <c r="J7" s="170"/>
      <c r="L7" s="12" t="s">
        <v>554</v>
      </c>
    </row>
    <row r="8" spans="1:12" x14ac:dyDescent="0.3">
      <c r="C8" s="12" t="s">
        <v>337</v>
      </c>
    </row>
    <row r="9" spans="1:12" ht="28.8" x14ac:dyDescent="0.3">
      <c r="B9" s="12" t="s">
        <v>338</v>
      </c>
      <c r="C9" s="12">
        <v>8000</v>
      </c>
      <c r="E9" s="155" t="s">
        <v>547</v>
      </c>
      <c r="L9" s="12" t="s">
        <v>556</v>
      </c>
    </row>
    <row r="10" spans="1:12" x14ac:dyDescent="0.3">
      <c r="B10" s="12" t="s">
        <v>339</v>
      </c>
      <c r="C10" s="12">
        <v>32000</v>
      </c>
      <c r="E10" s="155" t="s">
        <v>550</v>
      </c>
      <c r="L10" s="12" t="s">
        <v>551</v>
      </c>
    </row>
    <row r="11" spans="1:12" ht="44.4" customHeight="1" x14ac:dyDescent="0.3">
      <c r="B11" s="12" t="s">
        <v>340</v>
      </c>
      <c r="C11" s="12">
        <v>24000</v>
      </c>
      <c r="E11" s="155" t="s">
        <v>552</v>
      </c>
      <c r="L11" s="12" t="s">
        <v>555</v>
      </c>
    </row>
    <row r="12" spans="1:12" ht="28.8" customHeight="1" x14ac:dyDescent="0.3">
      <c r="B12" s="12" t="s">
        <v>352</v>
      </c>
      <c r="C12" s="12">
        <v>2000</v>
      </c>
      <c r="E12" s="170" t="s">
        <v>557</v>
      </c>
      <c r="F12" s="170"/>
      <c r="G12" s="170"/>
      <c r="H12" s="170"/>
      <c r="I12" s="170"/>
    </row>
    <row r="13" spans="1:12" ht="49.2" customHeight="1" x14ac:dyDescent="0.3">
      <c r="B13" s="12" t="s">
        <v>341</v>
      </c>
      <c r="C13" s="12">
        <v>10000</v>
      </c>
      <c r="E13" s="170" t="s">
        <v>545</v>
      </c>
      <c r="F13" s="170"/>
      <c r="G13" s="170"/>
      <c r="H13" s="170"/>
      <c r="I13" s="170"/>
      <c r="J13" s="170"/>
    </row>
    <row r="14" spans="1:12" x14ac:dyDescent="0.3">
      <c r="C14" s="12" t="s">
        <v>342</v>
      </c>
    </row>
    <row r="15" spans="1:12" ht="43.2" customHeight="1" x14ac:dyDescent="0.3">
      <c r="B15" s="12" t="s">
        <v>343</v>
      </c>
      <c r="C15" s="12">
        <v>100</v>
      </c>
      <c r="E15" s="170" t="s">
        <v>546</v>
      </c>
      <c r="F15" s="170"/>
      <c r="G15" s="170"/>
      <c r="H15" s="170"/>
      <c r="I15" s="170"/>
      <c r="J15" s="170"/>
    </row>
  </sheetData>
  <mergeCells count="7">
    <mergeCell ref="E15:J15"/>
    <mergeCell ref="E12:I12"/>
    <mergeCell ref="B1:I1"/>
    <mergeCell ref="E4:J4"/>
    <mergeCell ref="E6:J6"/>
    <mergeCell ref="E7:J7"/>
    <mergeCell ref="E13:J13"/>
  </mergeCells>
  <hyperlinks>
    <hyperlink ref="E9" r:id="rId1" xr:uid="{F24B2B55-AAE3-40B8-8832-874FE6FB75A3}"/>
    <hyperlink ref="E10" r:id="rId2" xr:uid="{9F44C99E-15F3-4A64-953A-77BA72C80EEB}"/>
    <hyperlink ref="E11" r:id="rId3" xr:uid="{BA7C9252-93B5-42E6-923A-E7F1DBAB02FD}"/>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746D-3DF0-42CB-A06A-73BF9C52CB07}">
  <dimension ref="A1:O57"/>
  <sheetViews>
    <sheetView topLeftCell="D37" workbookViewId="0">
      <selection activeCell="J6" sqref="J6:M55"/>
    </sheetView>
  </sheetViews>
  <sheetFormatPr defaultRowHeight="14.4" x14ac:dyDescent="0.3"/>
  <cols>
    <col min="1" max="1" width="20" style="110" customWidth="1"/>
    <col min="2" max="2" width="11.33203125" style="110" customWidth="1"/>
    <col min="3" max="3" width="15.6640625" style="110" customWidth="1"/>
    <col min="4" max="4" width="12.5546875" style="110" customWidth="1"/>
    <col min="5" max="5" width="10.44140625" style="110" customWidth="1"/>
    <col min="6" max="6" width="14.88671875" style="110" customWidth="1"/>
    <col min="7" max="7" width="10" style="110" customWidth="1"/>
    <col min="8" max="8" width="9.109375" style="110" customWidth="1"/>
    <col min="9" max="9" width="20" style="110" customWidth="1"/>
    <col min="10" max="10" width="12.109375" bestFit="1" customWidth="1"/>
    <col min="11" max="11" width="14.6640625" bestFit="1" customWidth="1"/>
    <col min="12" max="12" width="12.109375" style="64" bestFit="1" customWidth="1"/>
    <col min="13" max="13" width="11.6640625" customWidth="1"/>
  </cols>
  <sheetData>
    <row r="1" spans="1:15" ht="15.75" customHeight="1" x14ac:dyDescent="0.3">
      <c r="A1" s="109"/>
      <c r="I1" s="109"/>
    </row>
    <row r="2" spans="1:15" ht="18" x14ac:dyDescent="0.35">
      <c r="A2" s="139" t="s">
        <v>474</v>
      </c>
    </row>
    <row r="3" spans="1:15" ht="66.599999999999994" customHeight="1" x14ac:dyDescent="0.3">
      <c r="A3" s="173" t="s">
        <v>566</v>
      </c>
      <c r="B3" s="173"/>
      <c r="C3" s="173"/>
      <c r="D3" s="173"/>
      <c r="E3" s="173"/>
      <c r="F3" s="173"/>
      <c r="G3" s="173"/>
      <c r="I3" s="165" t="s">
        <v>567</v>
      </c>
      <c r="J3" s="164"/>
      <c r="K3" s="164"/>
    </row>
    <row r="4" spans="1:15" x14ac:dyDescent="0.3">
      <c r="B4" s="111" t="s">
        <v>371</v>
      </c>
      <c r="C4" s="111"/>
      <c r="D4" s="112"/>
      <c r="E4" s="112"/>
      <c r="F4" s="112"/>
      <c r="G4" s="112"/>
      <c r="K4" t="s">
        <v>378</v>
      </c>
    </row>
    <row r="5" spans="1:15" ht="27" customHeight="1" thickBot="1" x14ac:dyDescent="0.35">
      <c r="A5" s="113"/>
      <c r="B5" s="114" t="s">
        <v>3</v>
      </c>
      <c r="C5" s="115" t="s">
        <v>372</v>
      </c>
      <c r="D5" s="114" t="s">
        <v>2</v>
      </c>
      <c r="E5" s="114" t="s">
        <v>4</v>
      </c>
      <c r="F5" s="114" t="s">
        <v>5</v>
      </c>
      <c r="G5" s="114" t="s">
        <v>319</v>
      </c>
      <c r="I5" s="121" t="s">
        <v>380</v>
      </c>
      <c r="J5" s="114" t="s">
        <v>3</v>
      </c>
      <c r="K5" s="115" t="s">
        <v>372</v>
      </c>
      <c r="L5" s="120" t="s">
        <v>2</v>
      </c>
      <c r="M5" s="114" t="s">
        <v>5</v>
      </c>
    </row>
    <row r="6" spans="1:15" ht="12.75" customHeight="1" thickTop="1" x14ac:dyDescent="0.3">
      <c r="A6" s="116" t="s">
        <v>9</v>
      </c>
      <c r="B6" s="117">
        <v>2.2187298703980001</v>
      </c>
      <c r="C6" s="117">
        <v>55.245429537803027</v>
      </c>
      <c r="D6" s="117">
        <v>1.865645987080806</v>
      </c>
      <c r="E6" s="117">
        <v>21.06477516468621</v>
      </c>
      <c r="F6" s="117">
        <v>34.693717799795728</v>
      </c>
      <c r="G6" s="117">
        <v>115.0882983597638</v>
      </c>
      <c r="I6" s="116" t="s">
        <v>9</v>
      </c>
      <c r="J6" s="66">
        <f>$O$7*(('Master Summary Renewables'!G5+0.5*'Master Summary Renewables'!E5)/emissions!B6)/10^6</f>
        <v>9895.5865781213852</v>
      </c>
      <c r="K6" s="166">
        <f>$O$7*(('Master Summary Renewables'!C5/emissions!C6)/10^6)</f>
        <v>131.39708101107465</v>
      </c>
      <c r="L6" s="66">
        <f>$O$7*(('Master Summary Renewables'!F5+0.5*'Master Summary Renewables'!E5)/emissions!D6)/10^6</f>
        <v>4974.0928731726435</v>
      </c>
      <c r="M6" s="166">
        <f>$O$7*(('Master Summary Renewables'!D5+'Master Summary Renewables'!H5/emissions!F6)/10^6)</f>
        <v>9700.4671937855983</v>
      </c>
    </row>
    <row r="7" spans="1:15" x14ac:dyDescent="0.3">
      <c r="A7" s="116" t="s">
        <v>10</v>
      </c>
      <c r="B7" s="117">
        <v>2.0322749881769839</v>
      </c>
      <c r="C7" s="117">
        <v>2.7490232572052791</v>
      </c>
      <c r="D7" s="117">
        <v>1.496233250223306</v>
      </c>
      <c r="E7" s="117">
        <v>16.778920619343818</v>
      </c>
      <c r="F7" s="117">
        <v>11.852993947250299</v>
      </c>
      <c r="G7" s="117">
        <v>34.909446062199677</v>
      </c>
      <c r="I7" s="116" t="s">
        <v>10</v>
      </c>
      <c r="J7" s="66">
        <f>$O$7*(('Master Summary Renewables'!G6+0.5*'Master Summary Renewables'!E6)/emissions!B7)/10^6</f>
        <v>3023.0726899637084</v>
      </c>
      <c r="K7" s="166">
        <f>$O$7*(('Master Summary Renewables'!C6/emissions!C7)/10^6)</f>
        <v>188.25764480080727</v>
      </c>
      <c r="L7" s="66">
        <f>$O$7*(('Master Summary Renewables'!F6+0.5*'Master Summary Renewables'!E6)/emissions!D7)/10^6</f>
        <v>3074.3843587438032</v>
      </c>
      <c r="M7" s="166">
        <f>$O$7*(('Master Summary Renewables'!D6+'Master Summary Renewables'!H6/emissions!F7)/10^6)</f>
        <v>1068.7674751998502</v>
      </c>
      <c r="O7">
        <v>0.1</v>
      </c>
    </row>
    <row r="8" spans="1:15" x14ac:dyDescent="0.3">
      <c r="A8" s="116" t="s">
        <v>11</v>
      </c>
      <c r="B8" s="117">
        <v>2.8708138744869052</v>
      </c>
      <c r="C8" s="117">
        <v>44.275470023261462</v>
      </c>
      <c r="D8" s="117">
        <v>2.189230999076337</v>
      </c>
      <c r="E8" s="117">
        <v>4.5919373258646878</v>
      </c>
      <c r="F8" s="117">
        <v>33.078497851879803</v>
      </c>
      <c r="G8" s="117">
        <v>87.005950074569185</v>
      </c>
      <c r="I8" s="116" t="s">
        <v>11</v>
      </c>
      <c r="J8" s="66">
        <f>$O$7*(('Master Summary Renewables'!G7+0.5*'Master Summary Renewables'!E7)/emissions!B8)/10^6</f>
        <v>7308.1812302584094</v>
      </c>
      <c r="K8" s="166">
        <f>$O$7*(('Master Summary Renewables'!C7/emissions!C8)/10^6)</f>
        <v>144.83368040051215</v>
      </c>
      <c r="L8" s="66">
        <f>$O$7*(('Master Summary Renewables'!F7+0.5*'Master Summary Renewables'!E7)/emissions!D8)/10^6</f>
        <v>2725.9037547520229</v>
      </c>
      <c r="M8" s="166">
        <f>$O$7*(('Master Summary Renewables'!D7+'Master Summary Renewables'!H7/emissions!F8)/10^6)</f>
        <v>11480.476487877362</v>
      </c>
    </row>
    <row r="9" spans="1:15" x14ac:dyDescent="0.3">
      <c r="A9" s="116" t="s">
        <v>12</v>
      </c>
      <c r="B9" s="117">
        <v>2.936279800101111</v>
      </c>
      <c r="C9" s="117">
        <v>30.223829325774989</v>
      </c>
      <c r="D9" s="117">
        <v>1.660784237058472</v>
      </c>
      <c r="E9" s="117">
        <v>8.2106137805282078</v>
      </c>
      <c r="F9" s="117">
        <v>19.379290011355209</v>
      </c>
      <c r="G9" s="117">
        <v>62.410797154817992</v>
      </c>
      <c r="I9" s="116" t="s">
        <v>12</v>
      </c>
      <c r="J9" s="66">
        <f>$O$7*(('Master Summary Renewables'!G8+0.5*'Master Summary Renewables'!E8)/emissions!B9)/10^6</f>
        <v>4198.8161938945932</v>
      </c>
      <c r="K9" s="166">
        <f>$O$7*(('Master Summary Renewables'!C8/emissions!C9)/10^6)</f>
        <v>128.45228334828514</v>
      </c>
      <c r="L9" s="66">
        <f>$O$7*(('Master Summary Renewables'!F8+0.5*'Master Summary Renewables'!E8)/emissions!D9)/10^6</f>
        <v>2717.4714189376182</v>
      </c>
      <c r="M9" s="166">
        <f>$O$7*(('Master Summary Renewables'!D8+'Master Summary Renewables'!H8/emissions!F9)/10^6)</f>
        <v>5586.5148152868969</v>
      </c>
    </row>
    <row r="10" spans="1:15" x14ac:dyDescent="0.3">
      <c r="A10" s="116" t="s">
        <v>13</v>
      </c>
      <c r="B10" s="117">
        <v>18.873377176759011</v>
      </c>
      <c r="C10" s="117">
        <v>36.571928323333331</v>
      </c>
      <c r="D10" s="117">
        <v>24.10950195550959</v>
      </c>
      <c r="E10" s="117">
        <v>68.844574396882095</v>
      </c>
      <c r="F10" s="117">
        <v>212.954633675857</v>
      </c>
      <c r="G10" s="117">
        <v>361.35401552834111</v>
      </c>
      <c r="I10" s="116" t="s">
        <v>13</v>
      </c>
      <c r="J10" s="66">
        <f>$O$7*(('Master Summary Renewables'!G9+0.5*'Master Summary Renewables'!E9)/emissions!B10)/10^6</f>
        <v>6358.8827750847086</v>
      </c>
      <c r="K10" s="166">
        <f>$O$7*(('Master Summary Renewables'!C9/emissions!C10)/10^6)</f>
        <v>494.44956859588467</v>
      </c>
      <c r="L10" s="66">
        <f>$O$7*(('Master Summary Renewables'!F9+0.5*'Master Summary Renewables'!E9)/emissions!D10)/10^6</f>
        <v>1543.2375140416129</v>
      </c>
      <c r="M10" s="166">
        <f>$O$7*(('Master Summary Renewables'!D9+'Master Summary Renewables'!H9/emissions!F10)/10^6)</f>
        <v>54033.769242787384</v>
      </c>
    </row>
    <row r="11" spans="1:15" x14ac:dyDescent="0.3">
      <c r="A11" s="116" t="s">
        <v>14</v>
      </c>
      <c r="B11" s="117">
        <v>3.908212790356262</v>
      </c>
      <c r="C11" s="117">
        <v>35.252680035426103</v>
      </c>
      <c r="D11" s="117">
        <v>7.4621137328684748</v>
      </c>
      <c r="E11" s="117">
        <v>14.26072839278836</v>
      </c>
      <c r="F11" s="117">
        <v>28.155709245090119</v>
      </c>
      <c r="G11" s="117">
        <v>89.039444196529317</v>
      </c>
      <c r="I11" s="116" t="s">
        <v>14</v>
      </c>
      <c r="J11" s="66">
        <f>$O$7*(('Master Summary Renewables'!G10+0.5*'Master Summary Renewables'!E10)/emissions!B11)/10^6</f>
        <v>4860.8321920349163</v>
      </c>
      <c r="K11" s="166">
        <f>$O$7*(('Master Summary Renewables'!C10/emissions!C11)/10^6)</f>
        <v>115.54861386846538</v>
      </c>
      <c r="L11" s="66">
        <f>$O$7*(('Master Summary Renewables'!F10+0.5*'Master Summary Renewables'!E10)/emissions!D11)/10^6</f>
        <v>948.03351139485119</v>
      </c>
      <c r="M11" s="166">
        <f>$O$7*(('Master Summary Renewables'!D10+'Master Summary Renewables'!H10/emissions!F11)/10^6)</f>
        <v>9248.9576541363858</v>
      </c>
    </row>
    <row r="12" spans="1:15" x14ac:dyDescent="0.3">
      <c r="A12" s="116" t="s">
        <v>15</v>
      </c>
      <c r="B12" s="117">
        <v>3.9092777074280098</v>
      </c>
      <c r="C12" s="117">
        <v>6.9863775390287932</v>
      </c>
      <c r="D12" s="117">
        <v>6.2680092508506027</v>
      </c>
      <c r="E12" s="117">
        <v>1.849512383482683</v>
      </c>
      <c r="F12" s="117">
        <v>15.288152842168749</v>
      </c>
      <c r="G12" s="117">
        <v>34.30132972295884</v>
      </c>
      <c r="I12" s="116" t="s">
        <v>15</v>
      </c>
      <c r="J12" s="66">
        <f>$O$7*(('Master Summary Renewables'!G11+0.5*'Master Summary Renewables'!E11)/emissions!B12)/10^6</f>
        <v>3306.2542696148575</v>
      </c>
      <c r="K12" s="166">
        <f>$O$7*(('Master Summary Renewables'!C11/emissions!C12)/10^6)</f>
        <v>338.67586782472387</v>
      </c>
      <c r="L12" s="66">
        <f>$O$7*(('Master Summary Renewables'!F11+0.5*'Master Summary Renewables'!E11)/emissions!D12)/10^6</f>
        <v>667.23486298555542</v>
      </c>
      <c r="M12" s="166">
        <f>$O$7*(('Master Summary Renewables'!D11+'Master Summary Renewables'!H11/emissions!F12)/10^6)</f>
        <v>6079.247216701001</v>
      </c>
    </row>
    <row r="13" spans="1:15" x14ac:dyDescent="0.3">
      <c r="A13" s="116" t="s">
        <v>16</v>
      </c>
      <c r="B13" s="117">
        <v>0.92689408596438705</v>
      </c>
      <c r="C13" s="117">
        <v>3.584554778299017</v>
      </c>
      <c r="D13" s="117">
        <v>0.83732535809785258</v>
      </c>
      <c r="E13" s="117">
        <v>3.3528640353233379</v>
      </c>
      <c r="F13" s="117">
        <v>4.6079061782427297</v>
      </c>
      <c r="G13" s="117">
        <v>13.30954443592733</v>
      </c>
      <c r="I13" s="116" t="s">
        <v>16</v>
      </c>
      <c r="J13" s="66">
        <f>$O$7*(('Master Summary Renewables'!G12+0.5*'Master Summary Renewables'!E12)/emissions!B13)/10^6</f>
        <v>4260.354853064453</v>
      </c>
      <c r="K13" s="166">
        <f>$O$7*(('Master Summary Renewables'!C12/emissions!C13)/10^6)</f>
        <v>262.92996354611552</v>
      </c>
      <c r="L13" s="66">
        <f>$O$7*(('Master Summary Renewables'!F12+0.5*'Master Summary Renewables'!E12)/emissions!D13)/10^6</f>
        <v>1889.4559222951823</v>
      </c>
      <c r="M13" s="166">
        <f>$O$7*(('Master Summary Renewables'!D12+'Master Summary Renewables'!H12/emissions!F13)/10^6)</f>
        <v>2149.3525397434159</v>
      </c>
    </row>
    <row r="14" spans="1:15" x14ac:dyDescent="0.3">
      <c r="A14" s="116" t="s">
        <v>17</v>
      </c>
      <c r="B14" s="117">
        <v>7.3413082278056994</v>
      </c>
      <c r="C14" s="117">
        <v>105.9039696251254</v>
      </c>
      <c r="D14" s="117">
        <v>1.187114048696722</v>
      </c>
      <c r="E14" s="117">
        <v>12.033864078590559</v>
      </c>
      <c r="F14" s="117">
        <v>103.5967340005369</v>
      </c>
      <c r="G14" s="117">
        <v>230.06298998075519</v>
      </c>
      <c r="I14" s="116" t="s">
        <v>17</v>
      </c>
      <c r="J14" s="66">
        <f>$O$7*(('Master Summary Renewables'!G13+0.5*'Master Summary Renewables'!E13)/emissions!B14)/10^6</f>
        <v>10391.735591192924</v>
      </c>
      <c r="K14" s="166">
        <f>$O$7*(('Master Summary Renewables'!C13/emissions!C14)/10^6)</f>
        <v>181.56644161028237</v>
      </c>
      <c r="L14" s="66">
        <f>$O$7*(('Master Summary Renewables'!F13+0.5*'Master Summary Renewables'!E13)/emissions!D14)/10^6</f>
        <v>17734.860339238978</v>
      </c>
      <c r="M14" s="166">
        <f>$O$7*(('Master Summary Renewables'!D13+'Master Summary Renewables'!H13/emissions!F14)/10^6)</f>
        <v>27644.919029315701</v>
      </c>
    </row>
    <row r="15" spans="1:15" x14ac:dyDescent="0.3">
      <c r="A15" s="116" t="s">
        <v>18</v>
      </c>
      <c r="B15" s="117">
        <v>4.5941683645614226</v>
      </c>
      <c r="C15" s="117">
        <v>57.477325196968707</v>
      </c>
      <c r="D15" s="117">
        <v>6.8407760455379778</v>
      </c>
      <c r="E15" s="117">
        <v>13.29055808189255</v>
      </c>
      <c r="F15" s="117">
        <v>54.039021885427552</v>
      </c>
      <c r="G15" s="117">
        <v>136.2418495743882</v>
      </c>
      <c r="I15" s="116" t="s">
        <v>18</v>
      </c>
      <c r="J15" s="66">
        <f>$O$7*(('Master Summary Renewables'!G14+0.5*'Master Summary Renewables'!E14)/emissions!B15)/10^6</f>
        <v>8221.7050009623745</v>
      </c>
      <c r="K15" s="166">
        <f>$O$7*(('Master Summary Renewables'!C14/emissions!C15)/10^6)</f>
        <v>180.71459990532011</v>
      </c>
      <c r="L15" s="66">
        <f>$O$7*(('Master Summary Renewables'!F14+0.5*'Master Summary Renewables'!E14)/emissions!D15)/10^6</f>
        <v>1533.6997863923862</v>
      </c>
      <c r="M15" s="166">
        <f>$O$7*(('Master Summary Renewables'!D14+'Master Summary Renewables'!H14/emissions!F15)/10^6)</f>
        <v>18795.68067534723</v>
      </c>
    </row>
    <row r="16" spans="1:15" x14ac:dyDescent="0.3">
      <c r="A16" s="116" t="s">
        <v>19</v>
      </c>
      <c r="B16" s="117">
        <v>0.32829784053918382</v>
      </c>
      <c r="C16" s="117">
        <v>6.5770849635777653</v>
      </c>
      <c r="D16" s="117">
        <v>4.4244691534715101E-2</v>
      </c>
      <c r="E16" s="117">
        <v>1.3283237326225821</v>
      </c>
      <c r="F16" s="117">
        <v>10.16651428710033</v>
      </c>
      <c r="G16" s="117">
        <v>18.444465515374571</v>
      </c>
      <c r="I16" s="116" t="s">
        <v>19</v>
      </c>
      <c r="J16" s="66">
        <f>$O$7*(('Master Summary Renewables'!G15+0.5*'Master Summary Renewables'!E15)/emissions!B16)/10^6</f>
        <v>10306.079385471214</v>
      </c>
      <c r="K16" s="166">
        <f>$O$7*(('Master Summary Renewables'!C15/emissions!C16)/10^6)</f>
        <v>103.42758356089331</v>
      </c>
      <c r="L16" s="66">
        <f>$O$7*(('Master Summary Renewables'!F15+0.5*'Master Summary Renewables'!E15)/emissions!D16)/10^6</f>
        <v>9263.7745144242617</v>
      </c>
      <c r="M16" s="166">
        <f>$O$7*(('Master Summary Renewables'!D15+'Master Summary Renewables'!H15/emissions!F16)/10^6)</f>
        <v>1937.25244026773</v>
      </c>
    </row>
    <row r="17" spans="1:13" x14ac:dyDescent="0.3">
      <c r="A17" s="116" t="s">
        <v>20</v>
      </c>
      <c r="B17" s="117">
        <v>1.3663092596283319</v>
      </c>
      <c r="C17" s="117">
        <v>1.2539943166666669</v>
      </c>
      <c r="D17" s="117">
        <v>1.6326270808465351</v>
      </c>
      <c r="E17" s="117">
        <v>3.369122871495819</v>
      </c>
      <c r="F17" s="117">
        <v>10.759856234202189</v>
      </c>
      <c r="G17" s="117">
        <v>18.381909762839541</v>
      </c>
      <c r="I17" s="116" t="s">
        <v>20</v>
      </c>
      <c r="J17" s="66">
        <f>$O$7*(('Master Summary Renewables'!G16+0.5*'Master Summary Renewables'!E16)/emissions!B17)/10^6</f>
        <v>4055.0197910113307</v>
      </c>
      <c r="K17" s="166">
        <f>$O$7*(('Master Summary Renewables'!C16/emissions!C17)/10^6)</f>
        <v>1553.8503053235399</v>
      </c>
      <c r="L17" s="66">
        <f>$O$7*(('Master Summary Renewables'!F16+0.5*'Master Summary Renewables'!E16)/emissions!D17)/10^6</f>
        <v>1144.310587131635</v>
      </c>
      <c r="M17" s="166">
        <f>$O$7*(('Master Summary Renewables'!D16+'Master Summary Renewables'!H16/emissions!F17)/10^6)</f>
        <v>3113.2580005879531</v>
      </c>
    </row>
    <row r="18" spans="1:13" x14ac:dyDescent="0.3">
      <c r="A18" s="116" t="s">
        <v>21</v>
      </c>
      <c r="B18" s="117">
        <v>13.313221534647271</v>
      </c>
      <c r="C18" s="117">
        <v>66.402957112479825</v>
      </c>
      <c r="D18" s="117">
        <v>22.123793055635439</v>
      </c>
      <c r="E18" s="117">
        <v>33.930411138995161</v>
      </c>
      <c r="F18" s="117">
        <v>68.296571649126463</v>
      </c>
      <c r="G18" s="117">
        <v>204.06695449088409</v>
      </c>
      <c r="I18" s="116" t="s">
        <v>21</v>
      </c>
      <c r="J18" s="66">
        <f>$O$7*(('Master Summary Renewables'!G17+0.5*'Master Summary Renewables'!E17)/emissions!B18)/10^6</f>
        <v>3600.825489683783</v>
      </c>
      <c r="K18" s="166">
        <f>$O$7*(('Master Summary Renewables'!C17/emissions!C18)/10^6)</f>
        <v>170.3951061732273</v>
      </c>
      <c r="L18" s="66">
        <f>$O$7*(('Master Summary Renewables'!F17+0.5*'Master Summary Renewables'!E17)/emissions!D18)/10^6</f>
        <v>743.82216939775083</v>
      </c>
      <c r="M18" s="166">
        <f>$O$7*(('Master Summary Renewables'!D17+'Master Summary Renewables'!H17/emissions!F18)/10^6)</f>
        <v>17835.277931651628</v>
      </c>
    </row>
    <row r="19" spans="1:13" x14ac:dyDescent="0.3">
      <c r="A19" s="116" t="s">
        <v>22</v>
      </c>
      <c r="B19" s="117">
        <v>5.237281310800892</v>
      </c>
      <c r="C19" s="117">
        <v>83.652450161149972</v>
      </c>
      <c r="D19" s="117">
        <v>7.6164173574624661</v>
      </c>
      <c r="E19" s="117">
        <v>41.986230578983822</v>
      </c>
      <c r="F19" s="117">
        <v>43.360723853010072</v>
      </c>
      <c r="G19" s="117">
        <v>181.8531032614072</v>
      </c>
      <c r="I19" s="116" t="s">
        <v>22</v>
      </c>
      <c r="J19" s="66">
        <f>$O$7*(('Master Summary Renewables'!G18+0.5*'Master Summary Renewables'!E18)/emissions!B19)/10^6</f>
        <v>5338.2656453786985</v>
      </c>
      <c r="K19" s="166">
        <f>$O$7*(('Master Summary Renewables'!C18/emissions!C19)/10^6)</f>
        <v>75.811774618465776</v>
      </c>
      <c r="L19" s="66">
        <f>$O$7*(('Master Summary Renewables'!F18+0.5*'Master Summary Renewables'!E18)/emissions!D19)/10^6</f>
        <v>1499.7579843697476</v>
      </c>
      <c r="M19" s="166">
        <f>$O$7*(('Master Summary Renewables'!D18+'Master Summary Renewables'!H18/emissions!F19)/10^6)</f>
        <v>11695.804598407694</v>
      </c>
    </row>
    <row r="20" spans="1:13" x14ac:dyDescent="0.3">
      <c r="A20" s="116" t="s">
        <v>23</v>
      </c>
      <c r="B20" s="117">
        <v>3.4865717559643419</v>
      </c>
      <c r="C20" s="117">
        <v>24.70568729479135</v>
      </c>
      <c r="D20" s="117">
        <v>4.1114437119265421</v>
      </c>
      <c r="E20" s="117">
        <v>19.469676746037418</v>
      </c>
      <c r="F20" s="117">
        <v>21.35902857205139</v>
      </c>
      <c r="G20" s="117">
        <v>73.132408080771043</v>
      </c>
      <c r="I20" s="116" t="s">
        <v>23</v>
      </c>
      <c r="J20" s="66">
        <f>$O$7*(('Master Summary Renewables'!G19+0.5*'Master Summary Renewables'!E19)/emissions!B20)/10^6</f>
        <v>3930.4028007657889</v>
      </c>
      <c r="K20" s="166">
        <f>$O$7*(('Master Summary Renewables'!C19/emissions!C20)/10^6)</f>
        <v>128.15634211738237</v>
      </c>
      <c r="L20" s="66">
        <f>$O$7*(('Master Summary Renewables'!F19+0.5*'Master Summary Renewables'!E19)/emissions!D20)/10^6</f>
        <v>1436.2333412479181</v>
      </c>
      <c r="M20" s="166">
        <f>$O$7*(('Master Summary Renewables'!D19+'Master Summary Renewables'!H19/emissions!F20)/10^6)</f>
        <v>4554.809799662602</v>
      </c>
    </row>
    <row r="21" spans="1:13" x14ac:dyDescent="0.3">
      <c r="A21" s="116" t="s">
        <v>24</v>
      </c>
      <c r="B21" s="117">
        <v>2.3911538671036179</v>
      </c>
      <c r="C21" s="117">
        <v>24.838824579536709</v>
      </c>
      <c r="D21" s="117">
        <v>3.365040645274068</v>
      </c>
      <c r="E21" s="117">
        <v>12.79564000060042</v>
      </c>
      <c r="F21" s="117">
        <v>18.672020799451619</v>
      </c>
      <c r="G21" s="117">
        <v>62.06267989196644</v>
      </c>
      <c r="I21" s="116" t="s">
        <v>24</v>
      </c>
      <c r="J21" s="66">
        <f>$O$7*(('Master Summary Renewables'!G20+0.5*'Master Summary Renewables'!E20)/emissions!B21)/10^6</f>
        <v>4822.4796810923681</v>
      </c>
      <c r="K21" s="166">
        <f>$O$7*(('Master Summary Renewables'!C20/emissions!C21)/10^6)</f>
        <v>138.31150011667225</v>
      </c>
      <c r="L21" s="66">
        <f>$O$7*(('Master Summary Renewables'!F20+0.5*'Master Summary Renewables'!E20)/emissions!D21)/10^6</f>
        <v>1288.8826114423944</v>
      </c>
      <c r="M21" s="166">
        <f>$O$7*(('Master Summary Renewables'!D20+'Master Summary Renewables'!H20/emissions!F21)/10^6)</f>
        <v>6303.898760710339</v>
      </c>
    </row>
    <row r="22" spans="1:13" x14ac:dyDescent="0.3">
      <c r="A22" s="116" t="s">
        <v>25</v>
      </c>
      <c r="B22" s="117">
        <v>2.7272413865952001</v>
      </c>
      <c r="C22" s="117">
        <v>72.600555568026934</v>
      </c>
      <c r="D22" s="117">
        <v>2.8947530800487322</v>
      </c>
      <c r="E22" s="117">
        <v>13.467261152998381</v>
      </c>
      <c r="F22" s="117">
        <v>32.230479920799517</v>
      </c>
      <c r="G22" s="117">
        <v>123.9202911084688</v>
      </c>
      <c r="I22" s="116" t="s">
        <v>25</v>
      </c>
      <c r="J22" s="66">
        <f>$O$7*(('Master Summary Renewables'!G21+0.5*'Master Summary Renewables'!E21)/emissions!B22)/10^6</f>
        <v>5845.4864365796966</v>
      </c>
      <c r="K22" s="166">
        <f>$O$7*(('Master Summary Renewables'!C21/emissions!C22)/10^6)</f>
        <v>84.029997671910749</v>
      </c>
      <c r="L22" s="66">
        <f>$O$7*(('Master Summary Renewables'!F21+0.5*'Master Summary Renewables'!E21)/emissions!D22)/10^6</f>
        <v>1504.1442492915623</v>
      </c>
      <c r="M22" s="166">
        <f>$O$7*(('Master Summary Renewables'!D21+'Master Summary Renewables'!H21/emissions!F22)/10^6)</f>
        <v>7810.8835039255682</v>
      </c>
    </row>
    <row r="23" spans="1:13" x14ac:dyDescent="0.3">
      <c r="A23" s="116" t="s">
        <v>26</v>
      </c>
      <c r="B23" s="117">
        <v>2.188419981971395</v>
      </c>
      <c r="C23" s="117">
        <v>36.14214824806195</v>
      </c>
      <c r="D23" s="117">
        <v>1.808787414208286</v>
      </c>
      <c r="E23" s="117">
        <v>121.7394223842583</v>
      </c>
      <c r="F23" s="117">
        <v>47.250369107673308</v>
      </c>
      <c r="G23" s="117">
        <v>209.12914713617329</v>
      </c>
      <c r="I23" s="116" t="s">
        <v>26</v>
      </c>
      <c r="J23" s="66">
        <f>$O$7*(('Master Summary Renewables'!G22+0.5*'Master Summary Renewables'!E22)/emissions!B23)/10^6</f>
        <v>15092.109018718744</v>
      </c>
      <c r="K23" s="166">
        <f>$O$7*(('Master Summary Renewables'!C22/emissions!C23)/10^6)</f>
        <v>148.68113254440377</v>
      </c>
      <c r="L23" s="66">
        <f>$O$7*(('Master Summary Renewables'!F22+0.5*'Master Summary Renewables'!E22)/emissions!D23)/10^6</f>
        <v>11578.547911260468</v>
      </c>
      <c r="M23" s="166">
        <f>$O$7*(('Master Summary Renewables'!D22+'Master Summary Renewables'!H22/emissions!F23)/10^6)</f>
        <v>10642.843696367185</v>
      </c>
    </row>
    <row r="24" spans="1:13" x14ac:dyDescent="0.3">
      <c r="A24" s="116" t="s">
        <v>27</v>
      </c>
      <c r="B24" s="117">
        <v>1.6176065679078651</v>
      </c>
      <c r="C24" s="117">
        <v>1.4933725648923299</v>
      </c>
      <c r="D24" s="117">
        <v>2.92483385396672</v>
      </c>
      <c r="E24" s="117">
        <v>1.504293039535386</v>
      </c>
      <c r="F24" s="117">
        <v>8.9216684861996534</v>
      </c>
      <c r="G24" s="117">
        <v>16.46177451250195</v>
      </c>
      <c r="I24" s="116" t="s">
        <v>27</v>
      </c>
      <c r="J24" s="66">
        <f>$O$7*(('Master Summary Renewables'!G23+0.5*'Master Summary Renewables'!E23)/emissions!B24)/10^6</f>
        <v>2677.658408040837</v>
      </c>
      <c r="K24" s="166">
        <f>$O$7*(('Master Summary Renewables'!C23/emissions!C24)/10^6)</f>
        <v>625.5215850967885</v>
      </c>
      <c r="L24" s="66">
        <f>$O$7*(('Master Summary Renewables'!F23+0.5*'Master Summary Renewables'!E23)/emissions!D24)/10^6</f>
        <v>361.08998912192953</v>
      </c>
      <c r="M24" s="166">
        <f>$O$7*(('Master Summary Renewables'!D23+'Master Summary Renewables'!H23/emissions!F24)/10^6)</f>
        <v>2929.6054648514591</v>
      </c>
    </row>
    <row r="25" spans="1:13" x14ac:dyDescent="0.3">
      <c r="A25" s="116" t="s">
        <v>28</v>
      </c>
      <c r="B25" s="117">
        <v>5.1545932153819987</v>
      </c>
      <c r="C25" s="117">
        <v>17.151984718561909</v>
      </c>
      <c r="D25" s="117">
        <v>5.4847220469265254</v>
      </c>
      <c r="E25" s="117">
        <v>2.1830588475798791</v>
      </c>
      <c r="F25" s="117">
        <v>27.583602022010009</v>
      </c>
      <c r="G25" s="117">
        <v>57.557960850460319</v>
      </c>
      <c r="I25" s="116" t="s">
        <v>28</v>
      </c>
      <c r="J25" s="66">
        <f>$O$7*(('Master Summary Renewables'!G24+0.5*'Master Summary Renewables'!E24)/emissions!B25)/10^6</f>
        <v>3797.2747272977617</v>
      </c>
      <c r="K25" s="166">
        <f>$O$7*(('Master Summary Renewables'!C24/emissions!C25)/10^6)</f>
        <v>280.53607920687796</v>
      </c>
      <c r="L25" s="66">
        <f>$O$7*(('Master Summary Renewables'!F24+0.5*'Master Summary Renewables'!E24)/emissions!D25)/10^6</f>
        <v>872.60486356171782</v>
      </c>
      <c r="M25" s="166">
        <f>$O$7*(('Master Summary Renewables'!D24+'Master Summary Renewables'!H24/emissions!F25)/10^6)</f>
        <v>7596.6638061293961</v>
      </c>
    </row>
    <row r="26" spans="1:13" x14ac:dyDescent="0.3">
      <c r="A26" s="116" t="s">
        <v>29</v>
      </c>
      <c r="B26" s="117">
        <v>7.0099869920217772</v>
      </c>
      <c r="C26" s="117">
        <v>10.71506661692322</v>
      </c>
      <c r="D26" s="117">
        <v>11.3511066863236</v>
      </c>
      <c r="E26" s="117">
        <v>3.4194272508590928</v>
      </c>
      <c r="F26" s="117">
        <v>31.695034852741159</v>
      </c>
      <c r="G26" s="117">
        <v>64.19062239886884</v>
      </c>
      <c r="I26" s="116" t="s">
        <v>29</v>
      </c>
      <c r="J26" s="66">
        <f>$O$7*(('Master Summary Renewables'!G25+0.5*'Master Summary Renewables'!E25)/emissions!B26)/10^6</f>
        <v>3542.793387552038</v>
      </c>
      <c r="K26" s="166">
        <f>$O$7*(('Master Summary Renewables'!C25/emissions!C26)/10^6)</f>
        <v>400.19977224691513</v>
      </c>
      <c r="L26" s="66">
        <f>$O$7*(('Master Summary Renewables'!F25+0.5*'Master Summary Renewables'!E25)/emissions!D26)/10^6</f>
        <v>699.87636330706107</v>
      </c>
      <c r="M26" s="166">
        <f>$O$7*(('Master Summary Renewables'!D25+'Master Summary Renewables'!H25/emissions!F26)/10^6)</f>
        <v>9150.6404605938296</v>
      </c>
    </row>
    <row r="27" spans="1:13" x14ac:dyDescent="0.3">
      <c r="A27" s="116" t="s">
        <v>30</v>
      </c>
      <c r="B27" s="117">
        <v>10.242849920066879</v>
      </c>
      <c r="C27" s="117">
        <v>55.099293285574433</v>
      </c>
      <c r="D27" s="117">
        <v>18.624462758093859</v>
      </c>
      <c r="E27" s="117">
        <v>17.64197175811325</v>
      </c>
      <c r="F27" s="117">
        <v>50.158117495725783</v>
      </c>
      <c r="G27" s="117">
        <v>151.76669521757421</v>
      </c>
      <c r="I27" s="116" t="s">
        <v>30</v>
      </c>
      <c r="J27" s="66">
        <f>$O$7*(('Master Summary Renewables'!G26+0.5*'Master Summary Renewables'!E26)/emissions!B27)/10^6</f>
        <v>3790.2604751380318</v>
      </c>
      <c r="K27" s="166">
        <f>$O$7*(('Master Summary Renewables'!C26/emissions!C27)/10^6)</f>
        <v>133.95909998851562</v>
      </c>
      <c r="L27" s="66">
        <f>$O$7*(('Master Summary Renewables'!F26+0.5*'Master Summary Renewables'!E26)/emissions!D27)/10^6</f>
        <v>758.34575240077834</v>
      </c>
      <c r="M27" s="166">
        <f>$O$7*(('Master Summary Renewables'!D26+'Master Summary Renewables'!H26/emissions!F27)/10^6)</f>
        <v>17709.347939276831</v>
      </c>
    </row>
    <row r="28" spans="1:13" x14ac:dyDescent="0.3">
      <c r="A28" s="116" t="s">
        <v>31</v>
      </c>
      <c r="B28" s="117">
        <v>6.3436912095993616</v>
      </c>
      <c r="C28" s="117">
        <v>26.45958588044866</v>
      </c>
      <c r="D28" s="117">
        <v>8.0478328213682886</v>
      </c>
      <c r="E28" s="117">
        <v>17.042285191235479</v>
      </c>
      <c r="F28" s="117">
        <v>31.36157139505174</v>
      </c>
      <c r="G28" s="117">
        <v>89.254966497703521</v>
      </c>
      <c r="I28" s="116" t="s">
        <v>31</v>
      </c>
      <c r="J28" s="66">
        <f>$O$7*(('Master Summary Renewables'!G27+0.5*'Master Summary Renewables'!E27)/emissions!B28)/10^6</f>
        <v>3376.4563353513618</v>
      </c>
      <c r="K28" s="166">
        <f>$O$7*(('Master Summary Renewables'!C27/emissions!C28)/10^6)</f>
        <v>213.57765824416589</v>
      </c>
      <c r="L28" s="66">
        <f>$O$7*(('Master Summary Renewables'!F27+0.5*'Master Summary Renewables'!E27)/emissions!D28)/10^6</f>
        <v>938.67761638807508</v>
      </c>
      <c r="M28" s="166">
        <f>$O$7*(('Master Summary Renewables'!D27+'Master Summary Renewables'!H27/emissions!F28)/10^6)</f>
        <v>8769.7418636004131</v>
      </c>
    </row>
    <row r="29" spans="1:13" x14ac:dyDescent="0.3">
      <c r="A29" s="116" t="s">
        <v>32</v>
      </c>
      <c r="B29" s="117">
        <v>1.5595902520240179</v>
      </c>
      <c r="C29" s="117">
        <v>25.908346286661128</v>
      </c>
      <c r="D29" s="117">
        <v>1.4241815741210011</v>
      </c>
      <c r="E29" s="117">
        <v>10.209685320517121</v>
      </c>
      <c r="F29" s="117">
        <v>29.815521039665072</v>
      </c>
      <c r="G29" s="117">
        <v>68.917324472988341</v>
      </c>
      <c r="I29" s="116" t="s">
        <v>32</v>
      </c>
      <c r="J29" s="66">
        <f>$O$7*(('Master Summary Renewables'!G28+0.5*'Master Summary Renewables'!E28)/emissions!B29)/10^6</f>
        <v>9616.2730630392562</v>
      </c>
      <c r="K29" s="166">
        <f>$O$7*(('Master Summary Renewables'!C28/emissions!C29)/10^6)</f>
        <v>155.38706378120503</v>
      </c>
      <c r="L29" s="66">
        <f>$O$7*(('Master Summary Renewables'!F28+0.5*'Master Summary Renewables'!E28)/emissions!D29)/10^6</f>
        <v>5092.3734913057879</v>
      </c>
      <c r="M29" s="166">
        <f>$O$7*(('Master Summary Renewables'!D28+'Master Summary Renewables'!H28/emissions!F29)/10^6)</f>
        <v>6461.1355366851385</v>
      </c>
    </row>
    <row r="30" spans="1:13" x14ac:dyDescent="0.3">
      <c r="A30" s="116" t="s">
        <v>33</v>
      </c>
      <c r="B30" s="117">
        <v>4.240615825112255</v>
      </c>
      <c r="C30" s="117">
        <v>61.722575574231257</v>
      </c>
      <c r="D30" s="117">
        <v>5.6077501213906071</v>
      </c>
      <c r="E30" s="117">
        <v>8.1246907893618054</v>
      </c>
      <c r="F30" s="117">
        <v>37.98283514079538</v>
      </c>
      <c r="G30" s="117">
        <v>117.6784674508913</v>
      </c>
      <c r="I30" s="116" t="s">
        <v>33</v>
      </c>
      <c r="J30" s="66">
        <f>$O$7*(('Master Summary Renewables'!G29+0.5*'Master Summary Renewables'!E29)/emissions!B30)/10^6</f>
        <v>4750.8410889930183</v>
      </c>
      <c r="K30" s="166">
        <f>$O$7*(('Master Summary Renewables'!C29/emissions!C30)/10^6)</f>
        <v>100.51133711194245</v>
      </c>
      <c r="L30" s="66">
        <f>$O$7*(('Master Summary Renewables'!F29+0.5*'Master Summary Renewables'!E29)/emissions!D30)/10^6</f>
        <v>759.43777837702032</v>
      </c>
      <c r="M30" s="166">
        <f>$O$7*(('Master Summary Renewables'!D29+'Master Summary Renewables'!H29/emissions!F30)/10^6)</f>
        <v>11085.178226989452</v>
      </c>
    </row>
    <row r="31" spans="1:13" x14ac:dyDescent="0.3">
      <c r="A31" s="116" t="s">
        <v>34</v>
      </c>
      <c r="B31" s="117">
        <v>1.380631614343824</v>
      </c>
      <c r="C31" s="117">
        <v>15.94914181736835</v>
      </c>
      <c r="D31" s="117">
        <v>1.458211393674393</v>
      </c>
      <c r="E31" s="117">
        <v>3.819399467372095</v>
      </c>
      <c r="F31" s="117">
        <v>7.8517815504653639</v>
      </c>
      <c r="G31" s="117">
        <v>30.459165843224021</v>
      </c>
      <c r="I31" s="116" t="s">
        <v>34</v>
      </c>
      <c r="J31" s="66">
        <f>$O$7*(('Master Summary Renewables'!G30+0.5*'Master Summary Renewables'!E30)/emissions!B31)/10^6</f>
        <v>2553.2965313515633</v>
      </c>
      <c r="K31" s="166">
        <f>$O$7*(('Master Summary Renewables'!C30/emissions!C31)/10^6)</f>
        <v>71.034270443479215</v>
      </c>
      <c r="L31" s="66">
        <f>$O$7*(('Master Summary Renewables'!F30+0.5*'Master Summary Renewables'!E30)/emissions!D31)/10^6</f>
        <v>892.45037733356821</v>
      </c>
      <c r="M31" s="166">
        <f>$O$7*(('Master Summary Renewables'!D30+'Master Summary Renewables'!H30/emissions!F31)/10^6)</f>
        <v>3167.7854851518646</v>
      </c>
    </row>
    <row r="32" spans="1:13" x14ac:dyDescent="0.3">
      <c r="A32" s="116" t="s">
        <v>35</v>
      </c>
      <c r="B32" s="117">
        <v>1.8217452531222791</v>
      </c>
      <c r="C32" s="117">
        <v>21.15296578956222</v>
      </c>
      <c r="D32" s="117">
        <v>2.2030420182074808</v>
      </c>
      <c r="E32" s="117">
        <v>9.5496299941049614</v>
      </c>
      <c r="F32" s="117">
        <v>13.826746708161741</v>
      </c>
      <c r="G32" s="117">
        <v>48.554129763158677</v>
      </c>
      <c r="I32" s="116" t="s">
        <v>35</v>
      </c>
      <c r="J32" s="66">
        <f>$O$7*(('Master Summary Renewables'!G31+0.5*'Master Summary Renewables'!E31)/emissions!B32)/10^6</f>
        <v>4091.3614128829927</v>
      </c>
      <c r="K32" s="166">
        <f>$O$7*(('Master Summary Renewables'!C31/emissions!C32)/10^6)</f>
        <v>106.20765508219898</v>
      </c>
      <c r="L32" s="66">
        <f>$O$7*(('Master Summary Renewables'!F31+0.5*'Master Summary Renewables'!E31)/emissions!D32)/10^6</f>
        <v>1219.3668799064997</v>
      </c>
      <c r="M32" s="166">
        <f>$O$7*(('Master Summary Renewables'!D31+'Master Summary Renewables'!H31/emissions!F32)/10^6)</f>
        <v>3334.5778332532568</v>
      </c>
    </row>
    <row r="33" spans="1:13" x14ac:dyDescent="0.3">
      <c r="A33" s="116" t="s">
        <v>36</v>
      </c>
      <c r="B33" s="117">
        <v>2.2678727250325852</v>
      </c>
      <c r="C33" s="117">
        <v>13.89907698053287</v>
      </c>
      <c r="D33" s="117">
        <v>2.3002834511327692</v>
      </c>
      <c r="E33" s="117">
        <v>3.1841714708316489</v>
      </c>
      <c r="F33" s="117">
        <v>14.999700168471209</v>
      </c>
      <c r="G33" s="117">
        <v>36.651104796001093</v>
      </c>
      <c r="I33" s="116" t="s">
        <v>36</v>
      </c>
      <c r="J33" s="66">
        <f>$O$7*(('Master Summary Renewables'!G32+0.5*'Master Summary Renewables'!E32)/emissions!B33)/10^6</f>
        <v>4807.053638079261</v>
      </c>
      <c r="K33" s="166">
        <f>$O$7*(('Master Summary Renewables'!C32/emissions!C33)/10^6)</f>
        <v>206.80279791361141</v>
      </c>
      <c r="L33" s="66">
        <f>$O$7*(('Master Summary Renewables'!F32+0.5*'Master Summary Renewables'!E32)/emissions!D33)/10^6</f>
        <v>1977.8991494665822</v>
      </c>
      <c r="M33" s="166">
        <f>$O$7*(('Master Summary Renewables'!D32+'Master Summary Renewables'!H32/emissions!F33)/10^6)</f>
        <v>4712.1674987180004</v>
      </c>
    </row>
    <row r="34" spans="1:13" x14ac:dyDescent="0.3">
      <c r="A34" s="116" t="s">
        <v>37</v>
      </c>
      <c r="B34" s="117">
        <v>1.3869667427631689</v>
      </c>
      <c r="C34" s="117">
        <v>2.3678801868397201</v>
      </c>
      <c r="D34" s="117">
        <v>2.5189451486175591</v>
      </c>
      <c r="E34" s="117">
        <v>0.75266920043899932</v>
      </c>
      <c r="F34" s="117">
        <v>6.7264501685746421</v>
      </c>
      <c r="G34" s="117">
        <v>13.752911447234091</v>
      </c>
      <c r="I34" s="116" t="s">
        <v>37</v>
      </c>
      <c r="J34" s="66">
        <f>$O$7*(('Master Summary Renewables'!G33+0.5*'Master Summary Renewables'!E33)/emissions!B34)/10^6</f>
        <v>3186.9193481723987</v>
      </c>
      <c r="K34" s="166">
        <f>$O$7*(('Master Summary Renewables'!C33/emissions!C34)/10^6)</f>
        <v>382.70600020181564</v>
      </c>
      <c r="L34" s="66">
        <f>$O$7*(('Master Summary Renewables'!F33+0.5*'Master Summary Renewables'!E33)/emissions!D34)/10^6</f>
        <v>436.96893393793948</v>
      </c>
      <c r="M34" s="166">
        <f>$O$7*(('Master Summary Renewables'!D33+'Master Summary Renewables'!H33/emissions!F34)/10^6)</f>
        <v>2404.3159644242546</v>
      </c>
    </row>
    <row r="35" spans="1:13" x14ac:dyDescent="0.3">
      <c r="A35" s="116" t="s">
        <v>38</v>
      </c>
      <c r="B35" s="117">
        <v>10.03787382790793</v>
      </c>
      <c r="C35" s="117">
        <v>19.660066486893559</v>
      </c>
      <c r="D35" s="117">
        <v>13.555648755990671</v>
      </c>
      <c r="E35" s="117">
        <v>9.551737949590386</v>
      </c>
      <c r="F35" s="117">
        <v>58.028972007888427</v>
      </c>
      <c r="G35" s="117">
        <v>110.834299028271</v>
      </c>
      <c r="I35" s="116" t="s">
        <v>38</v>
      </c>
      <c r="J35" s="66">
        <f>$O$7*(('Master Summary Renewables'!G34+0.5*'Master Summary Renewables'!E34)/emissions!B35)/10^6</f>
        <v>3357.1510741143875</v>
      </c>
      <c r="K35" s="166">
        <f>$O$7*(('Master Summary Renewables'!C34/emissions!C35)/10^6)</f>
        <v>283.14613629857377</v>
      </c>
      <c r="L35" s="66">
        <f>$O$7*(('Master Summary Renewables'!F34+0.5*'Master Summary Renewables'!E34)/emissions!D35)/10^6</f>
        <v>877.73094765586302</v>
      </c>
      <c r="M35" s="166">
        <f>$O$7*(('Master Summary Renewables'!D34+'Master Summary Renewables'!H34/emissions!F35)/10^6)</f>
        <v>14035.702886185152</v>
      </c>
    </row>
    <row r="36" spans="1:13" x14ac:dyDescent="0.3">
      <c r="A36" s="116" t="s">
        <v>39</v>
      </c>
      <c r="B36" s="117">
        <v>1.699029028338773</v>
      </c>
      <c r="C36" s="117">
        <v>23.01347585220698</v>
      </c>
      <c r="D36" s="117">
        <v>2.1028927110942028</v>
      </c>
      <c r="E36" s="117">
        <v>7.4171936738883133</v>
      </c>
      <c r="F36" s="117">
        <v>14.154430578776511</v>
      </c>
      <c r="G36" s="117">
        <v>48.387021844304769</v>
      </c>
      <c r="I36" s="116" t="s">
        <v>39</v>
      </c>
      <c r="J36" s="66">
        <f>$O$7*(('Master Summary Renewables'!G35+0.5*'Master Summary Renewables'!E35)/emissions!B36)/10^6</f>
        <v>4702.9888471532631</v>
      </c>
      <c r="K36" s="166">
        <f>$O$7*(('Master Summary Renewables'!C35/emissions!C36)/10^6)</f>
        <v>82.748915611991379</v>
      </c>
      <c r="L36" s="66">
        <f>$O$7*(('Master Summary Renewables'!F35+0.5*'Master Summary Renewables'!E35)/emissions!D36)/10^6</f>
        <v>1713.8495020554676</v>
      </c>
      <c r="M36" s="166">
        <f>$O$7*(('Master Summary Renewables'!D35+'Master Summary Renewables'!H35/emissions!F36)/10^6)</f>
        <v>4121.4074042995298</v>
      </c>
    </row>
    <row r="37" spans="1:13" x14ac:dyDescent="0.3">
      <c r="A37" s="116" t="s">
        <v>40</v>
      </c>
      <c r="B37" s="117">
        <v>21.646620112118381</v>
      </c>
      <c r="C37" s="117">
        <v>27.740142248436921</v>
      </c>
      <c r="D37" s="117">
        <v>30.59111680355262</v>
      </c>
      <c r="E37" s="117">
        <v>8.296959859407421</v>
      </c>
      <c r="F37" s="117">
        <v>75.38060813918699</v>
      </c>
      <c r="G37" s="117">
        <v>163.6554471627023</v>
      </c>
      <c r="I37" s="116" t="s">
        <v>40</v>
      </c>
      <c r="J37" s="66">
        <f>$O$7*(('Master Summary Renewables'!G36+0.5*'Master Summary Renewables'!E36)/emissions!B37)/10^6</f>
        <v>3238.2037832794913</v>
      </c>
      <c r="K37" s="166">
        <f>$O$7*(('Master Summary Renewables'!C36/emissions!C37)/10^6)</f>
        <v>427.72523293089557</v>
      </c>
      <c r="L37" s="66">
        <f>$O$7*(('Master Summary Renewables'!F36+0.5*'Master Summary Renewables'!E36)/emissions!D37)/10^6</f>
        <v>728.10464632461401</v>
      </c>
      <c r="M37" s="166">
        <f>$O$7*(('Master Summary Renewables'!D36+'Master Summary Renewables'!H36/emissions!F37)/10^6)</f>
        <v>21040.726705409557</v>
      </c>
    </row>
    <row r="38" spans="1:13" x14ac:dyDescent="0.3">
      <c r="A38" s="116" t="s">
        <v>41</v>
      </c>
      <c r="B38" s="117">
        <v>5.2555414530459474</v>
      </c>
      <c r="C38" s="117">
        <v>50.7548105509415</v>
      </c>
      <c r="D38" s="117">
        <v>5.0980339419975929</v>
      </c>
      <c r="E38" s="117">
        <v>10.397343269164359</v>
      </c>
      <c r="F38" s="117">
        <v>49.04741341318055</v>
      </c>
      <c r="G38" s="117">
        <v>120.55314262832999</v>
      </c>
      <c r="I38" s="116" t="s">
        <v>41</v>
      </c>
      <c r="J38" s="66">
        <f>$O$7*(('Master Summary Renewables'!G37+0.5*'Master Summary Renewables'!E37)/emissions!B38)/10^6</f>
        <v>6663.8858256496223</v>
      </c>
      <c r="K38" s="166">
        <f>$O$7*(('Master Summary Renewables'!C37/emissions!C38)/10^6)</f>
        <v>181.39924245181209</v>
      </c>
      <c r="L38" s="66">
        <f>$O$7*(('Master Summary Renewables'!F37+0.5*'Master Summary Renewables'!E37)/emissions!D38)/10^6</f>
        <v>1587.7574357112169</v>
      </c>
      <c r="M38" s="166">
        <f>$O$7*(('Master Summary Renewables'!D37+'Master Summary Renewables'!H37/emissions!F38)/10^6)</f>
        <v>16898.539338765229</v>
      </c>
    </row>
    <row r="39" spans="1:13" x14ac:dyDescent="0.3">
      <c r="A39" s="116" t="s">
        <v>42</v>
      </c>
      <c r="B39" s="117">
        <v>0.99940766512123946</v>
      </c>
      <c r="C39" s="117">
        <v>28.894358463445851</v>
      </c>
      <c r="D39" s="117">
        <v>0.91460021840439498</v>
      </c>
      <c r="E39" s="117">
        <v>15.143035077398361</v>
      </c>
      <c r="F39" s="117">
        <v>8.3317055045181885</v>
      </c>
      <c r="G39" s="117">
        <v>54.283106928888039</v>
      </c>
      <c r="I39" s="116" t="s">
        <v>42</v>
      </c>
      <c r="J39" s="66">
        <f>$O$7*(('Master Summary Renewables'!G38+0.5*'Master Summary Renewables'!E38)/emissions!B39)/10^6</f>
        <v>3537.1905466347916</v>
      </c>
      <c r="K39" s="166">
        <f>$O$7*(('Master Summary Renewables'!C38/emissions!C39)/10^6)</f>
        <v>58.89153442748264</v>
      </c>
      <c r="L39" s="66">
        <f>$O$7*(('Master Summary Renewables'!F38+0.5*'Master Summary Renewables'!E38)/emissions!D39)/10^6</f>
        <v>1811.7119498773613</v>
      </c>
      <c r="M39" s="166">
        <f>$O$7*(('Master Summary Renewables'!D38+'Master Summary Renewables'!H38/emissions!F39)/10^6)</f>
        <v>1682.9805344529552</v>
      </c>
    </row>
    <row r="40" spans="1:13" x14ac:dyDescent="0.3">
      <c r="A40" s="116" t="s">
        <v>43</v>
      </c>
      <c r="B40" s="117">
        <v>10.99527996673867</v>
      </c>
      <c r="C40" s="117">
        <v>80.595427957848585</v>
      </c>
      <c r="D40" s="117">
        <v>16.18889021797202</v>
      </c>
      <c r="E40" s="117">
        <v>35.494907410987388</v>
      </c>
      <c r="F40" s="117">
        <v>62.999858289387298</v>
      </c>
      <c r="G40" s="117">
        <v>206.27436384293401</v>
      </c>
      <c r="I40" s="116" t="s">
        <v>43</v>
      </c>
      <c r="J40" s="66">
        <f>$O$7*(('Master Summary Renewables'!G39+0.5*'Master Summary Renewables'!E39)/emissions!B40)/10^6</f>
        <v>4041.7680355925354</v>
      </c>
      <c r="K40" s="166">
        <f>$O$7*(('Master Summary Renewables'!C39/emissions!C40)/10^6)</f>
        <v>121.76814197219699</v>
      </c>
      <c r="L40" s="66">
        <f>$O$7*(('Master Summary Renewables'!F39+0.5*'Master Summary Renewables'!E39)/emissions!D40)/10^6</f>
        <v>960.9357759190998</v>
      </c>
      <c r="M40" s="166">
        <f>$O$7*(('Master Summary Renewables'!D39+'Master Summary Renewables'!H39/emissions!F40)/10^6)</f>
        <v>18436.049624518269</v>
      </c>
    </row>
    <row r="41" spans="1:13" x14ac:dyDescent="0.3">
      <c r="A41" s="116" t="s">
        <v>44</v>
      </c>
      <c r="B41" s="117">
        <v>2.989828863602062</v>
      </c>
      <c r="C41" s="117">
        <v>35.337127157597543</v>
      </c>
      <c r="D41" s="117">
        <v>3.2104992660454852</v>
      </c>
      <c r="E41" s="117">
        <v>22.817475077357479</v>
      </c>
      <c r="F41" s="117">
        <v>32.556113079227913</v>
      </c>
      <c r="G41" s="117">
        <v>96.911043443830479</v>
      </c>
      <c r="I41" s="116" t="s">
        <v>44</v>
      </c>
      <c r="J41" s="66">
        <f>$O$7*(('Master Summary Renewables'!G40+0.5*'Master Summary Renewables'!E40)/emissions!B41)/10^6</f>
        <v>6511.2366769585724</v>
      </c>
      <c r="K41" s="166">
        <f>$O$7*(('Master Summary Renewables'!C40/emissions!C41)/10^6)</f>
        <v>133.13471031234531</v>
      </c>
      <c r="L41" s="66">
        <f>$O$7*(('Master Summary Renewables'!F40+0.5*'Master Summary Renewables'!E40)/emissions!D41)/10^6</f>
        <v>3028.9305523931471</v>
      </c>
      <c r="M41" s="166">
        <f>$O$7*(('Master Summary Renewables'!D40+'Master Summary Renewables'!H40/emissions!F41)/10^6)</f>
        <v>7928.8521752841662</v>
      </c>
    </row>
    <row r="42" spans="1:13" x14ac:dyDescent="0.3">
      <c r="A42" s="116" t="s">
        <v>45</v>
      </c>
      <c r="B42" s="117">
        <v>2.1243036833740319</v>
      </c>
      <c r="C42" s="117">
        <v>7.7670568337263877</v>
      </c>
      <c r="D42" s="117">
        <v>2.5023712786865651</v>
      </c>
      <c r="E42" s="117">
        <v>5.1305962466546999</v>
      </c>
      <c r="F42" s="117">
        <v>20.44425384646425</v>
      </c>
      <c r="G42" s="117">
        <v>37.968581888905931</v>
      </c>
      <c r="I42" s="116" t="s">
        <v>45</v>
      </c>
      <c r="J42" s="66">
        <f>$O$7*(('Master Summary Renewables'!G41+0.5*'Master Summary Renewables'!E41)/emissions!B42)/10^6</f>
        <v>6033.7945497480259</v>
      </c>
      <c r="K42" s="166">
        <f>$O$7*(('Master Summary Renewables'!C41/emissions!C42)/10^6)</f>
        <v>540.7540388708743</v>
      </c>
      <c r="L42" s="66">
        <f>$O$7*(('Master Summary Renewables'!F41+0.5*'Master Summary Renewables'!E41)/emissions!D42)/10^6</f>
        <v>1616.4529539987018</v>
      </c>
      <c r="M42" s="166">
        <f>$O$7*(('Master Summary Renewables'!D41+'Master Summary Renewables'!H41/emissions!F42)/10^6)</f>
        <v>6147.8725306466986</v>
      </c>
    </row>
    <row r="43" spans="1:13" x14ac:dyDescent="0.3">
      <c r="A43" s="116" t="s">
        <v>46</v>
      </c>
      <c r="B43" s="117">
        <v>10.645768060477851</v>
      </c>
      <c r="C43" s="117">
        <v>82.057473309071014</v>
      </c>
      <c r="D43" s="117">
        <v>18.431053242531501</v>
      </c>
      <c r="E43" s="117">
        <v>45.617322612113597</v>
      </c>
      <c r="F43" s="117">
        <v>60.657094108815947</v>
      </c>
      <c r="G43" s="117">
        <v>217.4087113330099</v>
      </c>
      <c r="I43" s="116" t="s">
        <v>46</v>
      </c>
      <c r="J43" s="66">
        <f>$O$7*(('Master Summary Renewables'!G42+0.5*'Master Summary Renewables'!E42)/emissions!B43)/10^6</f>
        <v>4843.2637331163296</v>
      </c>
      <c r="K43" s="166">
        <f>$O$7*(('Master Summary Renewables'!C42/emissions!C43)/10^6)</f>
        <v>141.99362335088483</v>
      </c>
      <c r="L43" s="66">
        <f>$O$7*(('Master Summary Renewables'!F42+0.5*'Master Summary Renewables'!E42)/emissions!D43)/10^6</f>
        <v>1097.0355406718868</v>
      </c>
      <c r="M43" s="166">
        <f>$O$7*(('Master Summary Renewables'!D42+'Master Summary Renewables'!H42/emissions!F43)/10^6)</f>
        <v>13344.348937538538</v>
      </c>
    </row>
    <row r="44" spans="1:13" x14ac:dyDescent="0.3">
      <c r="A44" s="116" t="s">
        <v>47</v>
      </c>
      <c r="B44" s="117">
        <v>0.85930579296478982</v>
      </c>
      <c r="C44" s="117">
        <v>2.574954836666667</v>
      </c>
      <c r="D44" s="117">
        <v>1.8140620630470989</v>
      </c>
      <c r="E44" s="117">
        <v>0.63024516600043856</v>
      </c>
      <c r="F44" s="117">
        <v>3.8709089547514508</v>
      </c>
      <c r="G44" s="117">
        <v>9.7494768134304444</v>
      </c>
      <c r="I44" s="116" t="s">
        <v>47</v>
      </c>
      <c r="J44" s="66">
        <f>$O$7*(('Master Summary Renewables'!G43+0.5*'Master Summary Renewables'!E43)/emissions!B44)/10^6</f>
        <v>4627.989296054182</v>
      </c>
      <c r="K44" s="166">
        <f>$O$7*(('Master Summary Renewables'!C43/emissions!C44)/10^6)</f>
        <v>240.70500625146016</v>
      </c>
      <c r="L44" s="66">
        <f>$O$7*(('Master Summary Renewables'!F43+0.5*'Master Summary Renewables'!E43)/emissions!D44)/10^6</f>
        <v>765.93528793367659</v>
      </c>
      <c r="M44" s="166">
        <f>$O$7*(('Master Summary Renewables'!D43+'Master Summary Renewables'!H43/emissions!F44)/10^6)</f>
        <v>2895.0991934585813</v>
      </c>
    </row>
    <row r="45" spans="1:13" x14ac:dyDescent="0.3">
      <c r="A45" s="116" t="s">
        <v>48</v>
      </c>
      <c r="B45" s="117">
        <v>2.1681777282059249</v>
      </c>
      <c r="C45" s="117">
        <v>27.51803106261757</v>
      </c>
      <c r="D45" s="117">
        <v>1.7932239297564021</v>
      </c>
      <c r="E45" s="117">
        <v>7.6194740621289911</v>
      </c>
      <c r="F45" s="117">
        <v>32.608654827621393</v>
      </c>
      <c r="G45" s="117">
        <v>71.707561610330288</v>
      </c>
      <c r="I45" s="116" t="s">
        <v>48</v>
      </c>
      <c r="J45" s="66">
        <f>$O$7*(('Master Summary Renewables'!G44+0.5*'Master Summary Renewables'!E44)/emissions!B45)/10^6</f>
        <v>8068.0437927361472</v>
      </c>
      <c r="K45" s="166">
        <f>$O$7*(('Master Summary Renewables'!C44/emissions!C45)/10^6)</f>
        <v>193.38894229140186</v>
      </c>
      <c r="L45" s="66">
        <f>$O$7*(('Master Summary Renewables'!F44+0.5*'Master Summary Renewables'!E44)/emissions!D45)/10^6</f>
        <v>2402.524377553897</v>
      </c>
      <c r="M45" s="166">
        <f>$O$7*(('Master Summary Renewables'!D44+'Master Summary Renewables'!H44/emissions!F45)/10^6)</f>
        <v>10095.901678491289</v>
      </c>
    </row>
    <row r="46" spans="1:13" x14ac:dyDescent="0.3">
      <c r="A46" s="116" t="s">
        <v>49</v>
      </c>
      <c r="B46" s="117">
        <v>0.7366513780089029</v>
      </c>
      <c r="C46" s="117">
        <v>2.6115628071890802</v>
      </c>
      <c r="D46" s="117">
        <v>0.95203245309379636</v>
      </c>
      <c r="E46" s="117">
        <v>3.8765703957245452</v>
      </c>
      <c r="F46" s="117">
        <v>6.8182042005861669</v>
      </c>
      <c r="G46" s="117">
        <v>14.99502123460249</v>
      </c>
      <c r="I46" s="116" t="s">
        <v>49</v>
      </c>
      <c r="J46" s="66">
        <f>$O$7*(('Master Summary Renewables'!G45+0.5*'Master Summary Renewables'!E45)/emissions!B46)/10^6</f>
        <v>4726.3633663469755</v>
      </c>
      <c r="K46" s="166">
        <f>$O$7*(('Master Summary Renewables'!C45/emissions!C46)/10^6)</f>
        <v>400.02824991264555</v>
      </c>
      <c r="L46" s="66">
        <f>$O$7*(('Master Summary Renewables'!F45+0.5*'Master Summary Renewables'!E45)/emissions!D46)/10^6</f>
        <v>1367.3210705915194</v>
      </c>
      <c r="M46" s="166">
        <f>$O$7*(('Master Summary Renewables'!D45+'Master Summary Renewables'!H45/emissions!F46)/10^6)</f>
        <v>2008.8123261443911</v>
      </c>
    </row>
    <row r="47" spans="1:13" x14ac:dyDescent="0.3">
      <c r="A47" s="116" t="s">
        <v>50</v>
      </c>
      <c r="B47" s="117">
        <v>3.689035610215265</v>
      </c>
      <c r="C47" s="117">
        <v>35.876167308963673</v>
      </c>
      <c r="D47" s="117">
        <v>3.6357413254547408</v>
      </c>
      <c r="E47" s="117">
        <v>16.219908790868821</v>
      </c>
      <c r="F47" s="117">
        <v>43.6517702797534</v>
      </c>
      <c r="G47" s="117">
        <v>103.0726233152559</v>
      </c>
      <c r="I47" s="116" t="s">
        <v>50</v>
      </c>
      <c r="J47" s="66">
        <f>$O$7*(('Master Summary Renewables'!G46+0.5*'Master Summary Renewables'!E46)/emissions!B47)/10^6</f>
        <v>6160.0082509817394</v>
      </c>
      <c r="K47" s="166">
        <f>$O$7*(('Master Summary Renewables'!C46/emissions!C47)/10^6)</f>
        <v>207.65170548172128</v>
      </c>
      <c r="L47" s="66">
        <f>$O$7*(('Master Summary Renewables'!F46+0.5*'Master Summary Renewables'!E46)/emissions!D47)/10^6</f>
        <v>1421.3864420140858</v>
      </c>
      <c r="M47" s="166">
        <f>$O$7*(('Master Summary Renewables'!D46+'Master Summary Renewables'!H46/emissions!F47)/10^6)</f>
        <v>13360.016615808974</v>
      </c>
    </row>
    <row r="48" spans="1:13" x14ac:dyDescent="0.3">
      <c r="A48" s="116" t="s">
        <v>51</v>
      </c>
      <c r="B48" s="117">
        <v>12.63130789379826</v>
      </c>
      <c r="C48" s="117">
        <v>207.5407886229346</v>
      </c>
      <c r="D48" s="117">
        <v>10.79198376018477</v>
      </c>
      <c r="E48" s="117">
        <v>198.03359233658759</v>
      </c>
      <c r="F48" s="117">
        <v>224.82401850621289</v>
      </c>
      <c r="G48" s="117">
        <v>653.82169111971814</v>
      </c>
      <c r="I48" s="116" t="s">
        <v>51</v>
      </c>
      <c r="J48" s="66">
        <f>$O$7*(('Master Summary Renewables'!G47+0.5*'Master Summary Renewables'!E47)/emissions!B48)/10^6</f>
        <v>10164.036764144706</v>
      </c>
      <c r="K48" s="166">
        <f>$O$7*(('Master Summary Renewables'!C47/emissions!C48)/10^6)</f>
        <v>155.09090432464453</v>
      </c>
      <c r="L48" s="66">
        <f>$O$7*(('Master Summary Renewables'!F47+0.5*'Master Summary Renewables'!E47)/emissions!D48)/10^6</f>
        <v>4999.3087064047249</v>
      </c>
      <c r="M48" s="166">
        <f>$O$7*(('Master Summary Renewables'!D47+'Master Summary Renewables'!H47/emissions!F48)/10^6)</f>
        <v>59509.574972747374</v>
      </c>
    </row>
    <row r="49" spans="1:13" x14ac:dyDescent="0.3">
      <c r="A49" s="116" t="s">
        <v>53</v>
      </c>
      <c r="B49" s="117">
        <v>2.6237335968900681</v>
      </c>
      <c r="C49" s="117">
        <v>27.457799239211081</v>
      </c>
      <c r="D49" s="117">
        <v>3.6514423588834779</v>
      </c>
      <c r="E49" s="117">
        <v>7.3520863850734779</v>
      </c>
      <c r="F49" s="117">
        <v>17.67645429537605</v>
      </c>
      <c r="G49" s="117">
        <v>58.761515875434164</v>
      </c>
      <c r="I49" s="116" t="s">
        <v>53</v>
      </c>
      <c r="J49" s="66">
        <f>$O$7*(('Master Summary Renewables'!G48+0.5*'Master Summary Renewables'!E48)/emissions!B49)/10^6</f>
        <v>3914.6742254550309</v>
      </c>
      <c r="K49" s="166">
        <f>$O$7*(('Master Summary Renewables'!C48/emissions!C49)/10^6)</f>
        <v>68.738794763172038</v>
      </c>
      <c r="L49" s="66">
        <f>$O$7*(('Master Summary Renewables'!F48+0.5*'Master Summary Renewables'!E48)/emissions!D49)/10^6</f>
        <v>1000.631966188925</v>
      </c>
      <c r="M49" s="166">
        <f>$O$7*(('Master Summary Renewables'!D48+'Master Summary Renewables'!H48/emissions!F49)/10^6)</f>
        <v>5233.2437895142866</v>
      </c>
    </row>
    <row r="50" spans="1:13" x14ac:dyDescent="0.3">
      <c r="A50" s="116" t="s">
        <v>54</v>
      </c>
      <c r="B50" s="117">
        <v>0.85439850368961234</v>
      </c>
      <c r="C50" s="117">
        <v>4.0876000000000003E-3</v>
      </c>
      <c r="D50" s="117">
        <v>1.3025834768372011</v>
      </c>
      <c r="E50" s="117">
        <v>0.4241838622976396</v>
      </c>
      <c r="F50" s="117">
        <v>3.369677176475101</v>
      </c>
      <c r="G50" s="117">
        <v>5.9549306192995539</v>
      </c>
      <c r="I50" s="116" t="s">
        <v>54</v>
      </c>
      <c r="J50" s="66">
        <f>$O$7*(('Master Summary Renewables'!G49+0.5*'Master Summary Renewables'!E49)/emissions!B50)/10^6</f>
        <v>2207.2532534527468</v>
      </c>
      <c r="K50" s="166">
        <f>$O$7*(('Master Summary Renewables'!C49/emissions!C50)/10^6)</f>
        <v>110034.97980527811</v>
      </c>
      <c r="L50" s="66">
        <f>$O$7*(('Master Summary Renewables'!F49+0.5*'Master Summary Renewables'!E49)/emissions!D50)/10^6</f>
        <v>271.17568592897339</v>
      </c>
      <c r="M50" s="166">
        <f>$O$7*(('Master Summary Renewables'!D49+'Master Summary Renewables'!H49/emissions!F50)/10^6)</f>
        <v>1461.5929331476721</v>
      </c>
    </row>
    <row r="51" spans="1:13" x14ac:dyDescent="0.3">
      <c r="A51" s="116" t="s">
        <v>55</v>
      </c>
      <c r="B51" s="117">
        <v>5.7532511041895082</v>
      </c>
      <c r="C51" s="117">
        <v>33.588460800660798</v>
      </c>
      <c r="D51" s="117">
        <v>5.717277625783618</v>
      </c>
      <c r="E51" s="117">
        <v>11.68396250518459</v>
      </c>
      <c r="F51" s="117">
        <v>47.494865346906508</v>
      </c>
      <c r="G51" s="117">
        <v>104.237817382725</v>
      </c>
      <c r="I51" s="116" t="s">
        <v>55</v>
      </c>
      <c r="J51" s="66">
        <f>$O$7*(('Master Summary Renewables'!G50+0.5*'Master Summary Renewables'!E50)/emissions!B51)/10^6</f>
        <v>5357.801635963845</v>
      </c>
      <c r="K51" s="166">
        <f>$O$7*(('Master Summary Renewables'!C50/emissions!C51)/10^6)</f>
        <v>268.64381065879178</v>
      </c>
      <c r="L51" s="66">
        <f>$O$7*(('Master Summary Renewables'!F50+0.5*'Master Summary Renewables'!E50)/emissions!D51)/10^6</f>
        <v>1527.969988996937</v>
      </c>
      <c r="M51" s="166">
        <f>$O$7*(('Master Summary Renewables'!D50+'Master Summary Renewables'!H50/emissions!F51)/10^6)</f>
        <v>12756.13464695211</v>
      </c>
    </row>
    <row r="52" spans="1:13" x14ac:dyDescent="0.3">
      <c r="A52" s="116" t="s">
        <v>56</v>
      </c>
      <c r="B52" s="117">
        <v>4.3698688537585886</v>
      </c>
      <c r="C52" s="117">
        <v>9.5321686540525334</v>
      </c>
      <c r="D52" s="117">
        <v>5.080213652375166</v>
      </c>
      <c r="E52" s="117">
        <v>10.957723207395199</v>
      </c>
      <c r="F52" s="117">
        <v>48.916677103195873</v>
      </c>
      <c r="G52" s="117">
        <v>78.856651470777365</v>
      </c>
      <c r="I52" s="116" t="s">
        <v>56</v>
      </c>
      <c r="J52" s="66">
        <f>$O$7*(('Master Summary Renewables'!G51+0.5*'Master Summary Renewables'!E51)/emissions!B52)/10^6</f>
        <v>4997.9717241813696</v>
      </c>
      <c r="K52" s="166">
        <f>$O$7*(('Master Summary Renewables'!C51/emissions!C52)/10^6)</f>
        <v>814.04758564426299</v>
      </c>
      <c r="L52" s="66">
        <f>$O$7*(('Master Summary Renewables'!F51+0.5*'Master Summary Renewables'!E51)/emissions!D52)/10^6</f>
        <v>1194.0088602159287</v>
      </c>
      <c r="M52" s="166">
        <f>$O$7*(('Master Summary Renewables'!D51+'Master Summary Renewables'!H51/emissions!F52)/10^6)</f>
        <v>10984.769498278827</v>
      </c>
    </row>
    <row r="53" spans="1:13" x14ac:dyDescent="0.3">
      <c r="A53" s="116" t="s">
        <v>57</v>
      </c>
      <c r="B53" s="117">
        <v>1.6754939203838339</v>
      </c>
      <c r="C53" s="117">
        <v>68.789860653421329</v>
      </c>
      <c r="D53" s="117">
        <v>1.619886490066996</v>
      </c>
      <c r="E53" s="117">
        <v>10.22641502435677</v>
      </c>
      <c r="F53" s="117">
        <v>12.240525660932679</v>
      </c>
      <c r="G53" s="117">
        <v>94.552181749161605</v>
      </c>
      <c r="I53" s="116" t="s">
        <v>57</v>
      </c>
      <c r="J53" s="66">
        <f>$O$7*(('Master Summary Renewables'!G52+0.5*'Master Summary Renewables'!E52)/emissions!B53)/10^6</f>
        <v>4392.6053924699545</v>
      </c>
      <c r="K53" s="166">
        <f>$O$7*(('Master Summary Renewables'!C52/emissions!C53)/10^6)</f>
        <v>38.175993617528796</v>
      </c>
      <c r="L53" s="66">
        <f>$O$7*(('Master Summary Renewables'!F52+0.5*'Master Summary Renewables'!E52)/emissions!D53)/10^6</f>
        <v>1652.4069238225609</v>
      </c>
      <c r="M53" s="166">
        <f>$O$7*(('Master Summary Renewables'!D52+'Master Summary Renewables'!H52/emissions!F53)/10^6)</f>
        <v>3054.9294735337139</v>
      </c>
    </row>
    <row r="54" spans="1:13" x14ac:dyDescent="0.3">
      <c r="A54" s="116" t="s">
        <v>58</v>
      </c>
      <c r="B54" s="117">
        <v>5.8978432219490289</v>
      </c>
      <c r="C54" s="117">
        <v>38.535293327519817</v>
      </c>
      <c r="D54" s="117">
        <v>8.6534574665652073</v>
      </c>
      <c r="E54" s="117">
        <v>13.046444933129919</v>
      </c>
      <c r="F54" s="117">
        <v>29.475988533211531</v>
      </c>
      <c r="G54" s="117">
        <v>95.60902748237551</v>
      </c>
      <c r="I54" s="116" t="s">
        <v>58</v>
      </c>
      <c r="J54" s="66">
        <f>$O$7*(('Master Summary Renewables'!G53+0.5*'Master Summary Renewables'!E53)/emissions!B54)/10^6</f>
        <v>3776.8682697427366</v>
      </c>
      <c r="K54" s="166">
        <f>$O$7*(('Master Summary Renewables'!C53/emissions!C54)/10^6)</f>
        <v>143.783635726082</v>
      </c>
      <c r="L54" s="66">
        <f>$O$7*(('Master Summary Renewables'!F53+0.5*'Master Summary Renewables'!E53)/emissions!D54)/10^6</f>
        <v>914.13292603717071</v>
      </c>
      <c r="M54" s="166">
        <f>$O$7*(('Master Summary Renewables'!D53+'Master Summary Renewables'!H53/emissions!F54)/10^6)</f>
        <v>9716.0858195877281</v>
      </c>
    </row>
    <row r="55" spans="1:13" x14ac:dyDescent="0.3">
      <c r="A55" s="116" t="s">
        <v>59</v>
      </c>
      <c r="B55" s="117">
        <v>1.1081887692974099</v>
      </c>
      <c r="C55" s="117">
        <v>40.259987074551042</v>
      </c>
      <c r="D55" s="117">
        <v>0.85286171846529124</v>
      </c>
      <c r="E55" s="117">
        <v>10.669856846482039</v>
      </c>
      <c r="F55" s="117">
        <v>7.7820801751853272</v>
      </c>
      <c r="G55" s="117">
        <v>60.672974583981109</v>
      </c>
      <c r="I55" s="116" t="s">
        <v>59</v>
      </c>
      <c r="J55" s="66">
        <f>$O$7*(('Master Summary Renewables'!G54+0.5*'Master Summary Renewables'!E54)/emissions!B55)/10^6</f>
        <v>2680.152163547843</v>
      </c>
      <c r="K55" s="166">
        <f>$O$7*(('Master Summary Renewables'!C54/emissions!C55)/10^6)</f>
        <v>33.426326203763423</v>
      </c>
      <c r="L55" s="66">
        <f>$O$7*(('Master Summary Renewables'!F54+0.5*'Master Summary Renewables'!E54)/emissions!D55)/10^6</f>
        <v>2064.4687531218692</v>
      </c>
      <c r="M55" s="166">
        <f>$O$7*(('Master Summary Renewables'!D54+'Master Summary Renewables'!H54/emissions!F55)/10^6)</f>
        <v>1617.6081524502622</v>
      </c>
    </row>
    <row r="56" spans="1:13" ht="12.75" customHeight="1" thickBot="1" x14ac:dyDescent="0.35">
      <c r="A56" s="118" t="s">
        <v>373</v>
      </c>
      <c r="B56" s="119">
        <v>233.38118740537669</v>
      </c>
      <c r="C56" s="119">
        <v>1796.47268043607</v>
      </c>
      <c r="D56" s="119">
        <v>298.55768216219741</v>
      </c>
      <c r="E56" s="119">
        <v>940.43387970453875</v>
      </c>
      <c r="F56" s="119">
        <v>1892.1454205767659</v>
      </c>
      <c r="G56" s="119">
        <v>5160.9908502849476</v>
      </c>
      <c r="I56" s="118" t="s">
        <v>373</v>
      </c>
    </row>
    <row r="57" spans="1:13" ht="15.75" customHeight="1" x14ac:dyDescent="0.3">
      <c r="A57" s="172" t="s">
        <v>374</v>
      </c>
      <c r="B57" s="172"/>
      <c r="C57" s="172"/>
      <c r="D57" s="172"/>
      <c r="E57" s="172"/>
      <c r="F57" s="172"/>
      <c r="G57" s="172"/>
      <c r="I57"/>
    </row>
  </sheetData>
  <mergeCells count="2">
    <mergeCell ref="A57:G57"/>
    <mergeCell ref="A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49541-523A-4260-862E-5A5D04476920}">
  <dimension ref="A1:I53"/>
  <sheetViews>
    <sheetView workbookViewId="0">
      <selection activeCell="D3" sqref="D3"/>
    </sheetView>
  </sheetViews>
  <sheetFormatPr defaultRowHeight="14.4" x14ac:dyDescent="0.3"/>
  <cols>
    <col min="1" max="1" width="15.109375" customWidth="1"/>
    <col min="2" max="2" width="12.33203125" customWidth="1"/>
    <col min="3" max="3" width="27.6640625" customWidth="1"/>
    <col min="4" max="4" width="21.33203125" customWidth="1"/>
    <col min="5" max="5" width="18.44140625" customWidth="1"/>
    <col min="7" max="7" width="12.21875" style="66" customWidth="1"/>
    <col min="8" max="8" width="12.109375" style="66" bestFit="1" customWidth="1"/>
    <col min="9" max="9" width="10.109375" customWidth="1"/>
  </cols>
  <sheetData>
    <row r="1" spans="1:9" s="12" customFormat="1" ht="53.4" customHeight="1" x14ac:dyDescent="0.3">
      <c r="B1" s="156" t="s">
        <v>561</v>
      </c>
      <c r="C1" s="156"/>
      <c r="D1" s="156"/>
      <c r="E1" s="156"/>
      <c r="F1" s="156"/>
      <c r="G1" s="65"/>
      <c r="H1" s="65"/>
    </row>
    <row r="2" spans="1:9" s="12" customFormat="1" ht="57.6" customHeight="1" x14ac:dyDescent="0.3">
      <c r="A2" s="12" t="s">
        <v>345</v>
      </c>
      <c r="B2" s="12" t="s">
        <v>560</v>
      </c>
      <c r="C2" s="12" t="s">
        <v>562</v>
      </c>
      <c r="D2" s="12" t="s">
        <v>368</v>
      </c>
      <c r="E2" s="12" t="s">
        <v>348</v>
      </c>
      <c r="G2" s="65" t="s">
        <v>565</v>
      </c>
      <c r="H2" s="65" t="s">
        <v>563</v>
      </c>
      <c r="I2" s="12" t="s">
        <v>564</v>
      </c>
    </row>
    <row r="3" spans="1:9" x14ac:dyDescent="0.3">
      <c r="A3" s="136" t="s">
        <v>9</v>
      </c>
      <c r="B3" s="158">
        <v>4903185</v>
      </c>
      <c r="C3" s="161">
        <v>73000000000</v>
      </c>
      <c r="D3" s="162">
        <v>576000000000</v>
      </c>
      <c r="E3" s="161">
        <v>8000000000</v>
      </c>
      <c r="G3" s="66">
        <f>C3/B3</f>
        <v>14888.281800503142</v>
      </c>
      <c r="H3" s="66">
        <f>D3/B3</f>
        <v>117474.66187794261</v>
      </c>
      <c r="I3" s="66">
        <f>E3/B3</f>
        <v>1631.5925260825361</v>
      </c>
    </row>
    <row r="4" spans="1:9" x14ac:dyDescent="0.3">
      <c r="A4" s="136" t="s">
        <v>10</v>
      </c>
      <c r="B4" s="158">
        <v>731545</v>
      </c>
      <c r="C4" s="161">
        <v>5000000000</v>
      </c>
      <c r="D4" s="159">
        <v>139000000000</v>
      </c>
      <c r="E4" s="161">
        <v>2000000000</v>
      </c>
      <c r="G4" s="66">
        <f t="shared" ref="G4:G53" si="0">C4/B4</f>
        <v>6834.8495307875801</v>
      </c>
      <c r="H4" s="66">
        <f t="shared" ref="H4:H53" si="1">D4/B4</f>
        <v>190008.81695589473</v>
      </c>
      <c r="I4" s="66">
        <f t="shared" ref="I4:I53" si="2">E4/B4</f>
        <v>2733.9398123150318</v>
      </c>
    </row>
    <row r="5" spans="1:9" x14ac:dyDescent="0.3">
      <c r="A5" s="136" t="s">
        <v>11</v>
      </c>
      <c r="B5" s="158">
        <v>7278717</v>
      </c>
      <c r="C5" s="161">
        <v>64000000000</v>
      </c>
      <c r="D5" s="159">
        <v>550000000000</v>
      </c>
      <c r="E5" s="161">
        <v>19000000000</v>
      </c>
      <c r="G5" s="66">
        <f t="shared" si="0"/>
        <v>8792.7583940961031</v>
      </c>
      <c r="H5" s="66">
        <f t="shared" si="1"/>
        <v>75562.767449263381</v>
      </c>
      <c r="I5" s="66">
        <f t="shared" si="2"/>
        <v>2610.3501482472802</v>
      </c>
    </row>
    <row r="6" spans="1:9" x14ac:dyDescent="0.3">
      <c r="A6" s="136" t="s">
        <v>12</v>
      </c>
      <c r="B6" s="158">
        <v>3017804</v>
      </c>
      <c r="C6" s="161">
        <v>39000000000</v>
      </c>
      <c r="D6" s="159">
        <v>313000000000</v>
      </c>
      <c r="E6" s="161">
        <v>5000000000</v>
      </c>
      <c r="G6" s="66">
        <f t="shared" si="0"/>
        <v>12923.304495586857</v>
      </c>
      <c r="H6" s="66">
        <f t="shared" si="1"/>
        <v>103717.80274663298</v>
      </c>
      <c r="I6" s="66">
        <f t="shared" si="2"/>
        <v>1656.8339096906227</v>
      </c>
    </row>
    <row r="7" spans="1:9" x14ac:dyDescent="0.3">
      <c r="A7" s="136" t="s">
        <v>13</v>
      </c>
      <c r="B7" s="158">
        <v>39512223</v>
      </c>
      <c r="C7" s="161">
        <v>181000000000</v>
      </c>
      <c r="D7" s="159">
        <v>2823000000000</v>
      </c>
      <c r="E7" s="161">
        <v>103000000000</v>
      </c>
      <c r="G7" s="66">
        <f t="shared" si="0"/>
        <v>4580.8609654789607</v>
      </c>
      <c r="H7" s="66">
        <f t="shared" si="1"/>
        <v>71446.245887000594</v>
      </c>
      <c r="I7" s="66">
        <f t="shared" si="2"/>
        <v>2606.7882842228341</v>
      </c>
    </row>
    <row r="8" spans="1:9" x14ac:dyDescent="0.3">
      <c r="A8" s="136" t="s">
        <v>14</v>
      </c>
      <c r="B8" s="158">
        <v>5758736</v>
      </c>
      <c r="C8" s="161">
        <v>41000000000</v>
      </c>
      <c r="D8" s="159">
        <v>488000000000</v>
      </c>
      <c r="E8" s="161">
        <v>15000000000</v>
      </c>
      <c r="G8" s="66">
        <f t="shared" si="0"/>
        <v>7119.617916153823</v>
      </c>
      <c r="H8" s="66">
        <f t="shared" si="1"/>
        <v>84740.818123977209</v>
      </c>
      <c r="I8" s="66">
        <f t="shared" si="2"/>
        <v>2604.7382620074959</v>
      </c>
    </row>
    <row r="9" spans="1:9" x14ac:dyDescent="0.3">
      <c r="A9" s="136" t="s">
        <v>15</v>
      </c>
      <c r="B9" s="158">
        <v>3565287</v>
      </c>
      <c r="C9" s="161">
        <v>24000000000</v>
      </c>
      <c r="D9" s="159">
        <v>303000000000</v>
      </c>
      <c r="E9" s="161">
        <v>11000000000</v>
      </c>
      <c r="G9" s="66">
        <f t="shared" si="0"/>
        <v>6731.5758871585931</v>
      </c>
      <c r="H9" s="66">
        <f t="shared" si="1"/>
        <v>84986.145575377246</v>
      </c>
      <c r="I9" s="66">
        <f t="shared" si="2"/>
        <v>3085.3056149476888</v>
      </c>
    </row>
    <row r="10" spans="1:9" x14ac:dyDescent="0.3">
      <c r="A10" s="136" t="s">
        <v>16</v>
      </c>
      <c r="B10" s="158">
        <v>973764</v>
      </c>
      <c r="C10" s="161">
        <v>9000000000</v>
      </c>
      <c r="D10" s="159">
        <v>101000000000</v>
      </c>
      <c r="E10" s="161">
        <v>3000000000</v>
      </c>
      <c r="G10" s="66">
        <f t="shared" si="0"/>
        <v>9242.4858589966352</v>
      </c>
      <c r="H10" s="66">
        <f t="shared" si="1"/>
        <v>103721.23019540669</v>
      </c>
      <c r="I10" s="66">
        <f t="shared" si="2"/>
        <v>3080.8286196655454</v>
      </c>
    </row>
    <row r="11" spans="1:9" x14ac:dyDescent="0.3">
      <c r="A11" s="136" t="s">
        <v>17</v>
      </c>
      <c r="B11" s="158">
        <v>21477737</v>
      </c>
      <c r="C11" s="161">
        <v>192000000000</v>
      </c>
      <c r="D11" s="159">
        <v>1721000000000</v>
      </c>
      <c r="E11" s="161">
        <v>33000000000</v>
      </c>
      <c r="G11" s="66">
        <f t="shared" si="0"/>
        <v>8939.4892953573271</v>
      </c>
      <c r="H11" s="66">
        <f t="shared" si="1"/>
        <v>80129.484777656049</v>
      </c>
      <c r="I11" s="66">
        <f t="shared" si="2"/>
        <v>1536.4747226395407</v>
      </c>
    </row>
    <row r="12" spans="1:9" x14ac:dyDescent="0.3">
      <c r="A12" s="136" t="s">
        <v>18</v>
      </c>
      <c r="B12" s="158">
        <v>10617423</v>
      </c>
      <c r="C12" s="161">
        <v>104000000000</v>
      </c>
      <c r="D12" s="159">
        <v>921000000000</v>
      </c>
      <c r="E12" s="161">
        <v>16000000000</v>
      </c>
      <c r="G12" s="66">
        <f t="shared" si="0"/>
        <v>9795.2205539894185</v>
      </c>
      <c r="H12" s="66">
        <f t="shared" si="1"/>
        <v>86744.212790617836</v>
      </c>
      <c r="I12" s="66">
        <f t="shared" si="2"/>
        <v>1506.9570083060644</v>
      </c>
    </row>
    <row r="13" spans="1:9" x14ac:dyDescent="0.3">
      <c r="A13" s="136" t="s">
        <v>19</v>
      </c>
      <c r="B13" s="158">
        <v>1415872</v>
      </c>
      <c r="C13" s="161">
        <v>7000000000</v>
      </c>
      <c r="D13" s="159">
        <v>84000000000</v>
      </c>
      <c r="E13" s="161">
        <v>4000000000</v>
      </c>
      <c r="G13" s="66">
        <f t="shared" si="0"/>
        <v>4943.9497355693175</v>
      </c>
      <c r="H13" s="66">
        <f t="shared" si="1"/>
        <v>59327.396826831806</v>
      </c>
      <c r="I13" s="66">
        <f t="shared" si="2"/>
        <v>2825.1141346110385</v>
      </c>
    </row>
    <row r="14" spans="1:9" x14ac:dyDescent="0.3">
      <c r="A14" s="136" t="s">
        <v>20</v>
      </c>
      <c r="B14" s="158">
        <v>1787065</v>
      </c>
      <c r="C14" s="161">
        <v>19000000000</v>
      </c>
      <c r="D14" s="159">
        <v>156000000000</v>
      </c>
      <c r="E14" s="161">
        <v>5000000000</v>
      </c>
      <c r="G14" s="66">
        <f t="shared" si="0"/>
        <v>10631.957986978648</v>
      </c>
      <c r="H14" s="66">
        <f t="shared" si="1"/>
        <v>87293.970840456284</v>
      </c>
      <c r="I14" s="66">
        <f t="shared" si="2"/>
        <v>2797.8836807838552</v>
      </c>
    </row>
    <row r="15" spans="1:9" x14ac:dyDescent="0.3">
      <c r="A15" s="136" t="s">
        <v>21</v>
      </c>
      <c r="B15" s="158">
        <v>12671821</v>
      </c>
      <c r="C15" s="161">
        <v>113000000000</v>
      </c>
      <c r="D15" s="159">
        <v>1118000000000</v>
      </c>
      <c r="E15" s="161">
        <v>38000000000</v>
      </c>
      <c r="G15" s="66">
        <f t="shared" si="0"/>
        <v>8917.4239440408764</v>
      </c>
      <c r="H15" s="66">
        <f t="shared" si="1"/>
        <v>88227.256366705304</v>
      </c>
      <c r="I15" s="66">
        <f t="shared" si="2"/>
        <v>2998.7797333942772</v>
      </c>
    </row>
    <row r="16" spans="1:9" x14ac:dyDescent="0.3">
      <c r="A16" s="136" t="s">
        <v>22</v>
      </c>
      <c r="B16" s="158">
        <v>6732219</v>
      </c>
      <c r="C16" s="161">
        <v>63000000000</v>
      </c>
      <c r="D16" s="159">
        <v>685000000000</v>
      </c>
      <c r="E16" s="161">
        <v>20000000000</v>
      </c>
      <c r="G16" s="66">
        <f t="shared" si="0"/>
        <v>9357.9843436465744</v>
      </c>
      <c r="H16" s="66">
        <f t="shared" si="1"/>
        <v>101749.51230790323</v>
      </c>
      <c r="I16" s="66">
        <f t="shared" si="2"/>
        <v>2970.7886805227222</v>
      </c>
    </row>
    <row r="17" spans="1:9" x14ac:dyDescent="0.3">
      <c r="A17" s="136" t="s">
        <v>23</v>
      </c>
      <c r="B17" s="158">
        <v>3155070</v>
      </c>
      <c r="C17" s="161">
        <v>32000000000</v>
      </c>
      <c r="D17" s="159">
        <v>337000000000</v>
      </c>
      <c r="E17" s="161">
        <v>9000000000</v>
      </c>
      <c r="G17" s="66">
        <f t="shared" si="0"/>
        <v>10142.405715245621</v>
      </c>
      <c r="H17" s="66">
        <f t="shared" si="1"/>
        <v>106812.21018868044</v>
      </c>
      <c r="I17" s="66">
        <f t="shared" si="2"/>
        <v>2852.5516074128309</v>
      </c>
    </row>
    <row r="18" spans="1:9" x14ac:dyDescent="0.3">
      <c r="A18" s="136" t="s">
        <v>24</v>
      </c>
      <c r="B18" s="158">
        <v>2913314</v>
      </c>
      <c r="C18" s="161">
        <v>34000000000</v>
      </c>
      <c r="D18" s="159">
        <v>303000000000</v>
      </c>
      <c r="E18" s="161">
        <v>9000000000</v>
      </c>
      <c r="G18" s="66">
        <f t="shared" si="0"/>
        <v>11670.557996837966</v>
      </c>
      <c r="H18" s="66">
        <f t="shared" si="1"/>
        <v>104005.26685417363</v>
      </c>
      <c r="I18" s="66">
        <f t="shared" si="2"/>
        <v>3089.2653521041675</v>
      </c>
    </row>
    <row r="19" spans="1:9" x14ac:dyDescent="0.3">
      <c r="A19" s="136" t="s">
        <v>25</v>
      </c>
      <c r="B19" s="158">
        <v>4467673</v>
      </c>
      <c r="C19" s="161">
        <v>61000000000</v>
      </c>
      <c r="D19" s="159">
        <v>416000000000</v>
      </c>
      <c r="E19" s="161">
        <v>7000000000</v>
      </c>
      <c r="G19" s="66">
        <f t="shared" si="0"/>
        <v>13653.640273135477</v>
      </c>
      <c r="H19" s="66">
        <f t="shared" si="1"/>
        <v>93113.350059415723</v>
      </c>
      <c r="I19" s="66">
        <f t="shared" si="2"/>
        <v>1566.8111788843992</v>
      </c>
    </row>
    <row r="20" spans="1:9" x14ac:dyDescent="0.3">
      <c r="A20" s="136" t="s">
        <v>26</v>
      </c>
      <c r="B20" s="158">
        <v>4648794</v>
      </c>
      <c r="C20" s="161">
        <v>54000000000</v>
      </c>
      <c r="D20" s="159">
        <v>772000000000</v>
      </c>
      <c r="E20" s="161">
        <v>7000000000</v>
      </c>
      <c r="G20" s="66">
        <f t="shared" si="0"/>
        <v>11615.915869793327</v>
      </c>
      <c r="H20" s="66">
        <f t="shared" si="1"/>
        <v>166064.5750274157</v>
      </c>
      <c r="I20" s="66">
        <f t="shared" si="2"/>
        <v>1505.7668720102461</v>
      </c>
    </row>
    <row r="21" spans="1:9" x14ac:dyDescent="0.3">
      <c r="A21" s="136" t="s">
        <v>27</v>
      </c>
      <c r="B21" s="158">
        <v>1344212</v>
      </c>
      <c r="C21" s="161">
        <v>9000000000</v>
      </c>
      <c r="D21" s="159">
        <v>111000000000</v>
      </c>
      <c r="E21" s="161">
        <v>4000000000</v>
      </c>
      <c r="G21" s="66">
        <f t="shared" si="0"/>
        <v>6695.3724561304316</v>
      </c>
      <c r="H21" s="66">
        <f t="shared" si="1"/>
        <v>82576.260292275329</v>
      </c>
      <c r="I21" s="66">
        <f t="shared" si="2"/>
        <v>2975.7210916135255</v>
      </c>
    </row>
    <row r="22" spans="1:9" x14ac:dyDescent="0.3">
      <c r="A22" s="136" t="s">
        <v>28</v>
      </c>
      <c r="B22" s="158">
        <v>6045680</v>
      </c>
      <c r="C22" s="161">
        <v>48000000000</v>
      </c>
      <c r="D22" s="159">
        <v>440000000000</v>
      </c>
      <c r="E22" s="161">
        <v>19000000000</v>
      </c>
      <c r="G22" s="66">
        <f t="shared" si="0"/>
        <v>7939.5535324396924</v>
      </c>
      <c r="H22" s="66">
        <f t="shared" si="1"/>
        <v>72779.240714030515</v>
      </c>
      <c r="I22" s="66">
        <f t="shared" si="2"/>
        <v>3142.7399399240448</v>
      </c>
    </row>
    <row r="23" spans="1:9" x14ac:dyDescent="0.3">
      <c r="A23" s="136" t="s">
        <v>29</v>
      </c>
      <c r="B23" s="158">
        <v>6892503</v>
      </c>
      <c r="C23" s="161">
        <v>43000000000</v>
      </c>
      <c r="D23" s="159">
        <v>553000000000</v>
      </c>
      <c r="E23" s="161">
        <v>22000000000</v>
      </c>
      <c r="G23" s="66">
        <f t="shared" si="0"/>
        <v>6238.6625004007974</v>
      </c>
      <c r="H23" s="66">
        <f t="shared" si="1"/>
        <v>80232.101458642821</v>
      </c>
      <c r="I23" s="66">
        <f t="shared" si="2"/>
        <v>3191.8738374143618</v>
      </c>
    </row>
    <row r="24" spans="1:9" x14ac:dyDescent="0.3">
      <c r="A24" s="136" t="s">
        <v>30</v>
      </c>
      <c r="B24" s="158">
        <v>9986857</v>
      </c>
      <c r="C24" s="161">
        <v>74000000000</v>
      </c>
      <c r="D24" s="159">
        <v>931000000000</v>
      </c>
      <c r="E24" s="161">
        <v>30000000000</v>
      </c>
      <c r="G24" s="66">
        <f t="shared" si="0"/>
        <v>7409.7386194675664</v>
      </c>
      <c r="H24" s="66">
        <f t="shared" si="1"/>
        <v>93222.522361139243</v>
      </c>
      <c r="I24" s="66">
        <f t="shared" si="2"/>
        <v>3003.9480889733377</v>
      </c>
    </row>
    <row r="25" spans="1:9" x14ac:dyDescent="0.3">
      <c r="A25" s="136" t="s">
        <v>31</v>
      </c>
      <c r="B25" s="158">
        <v>5639632</v>
      </c>
      <c r="C25" s="161">
        <v>57000000000</v>
      </c>
      <c r="D25" s="159">
        <v>529000000000</v>
      </c>
      <c r="E25" s="161">
        <v>17000000000</v>
      </c>
      <c r="G25" s="66">
        <f t="shared" si="0"/>
        <v>10107.042445322673</v>
      </c>
      <c r="H25" s="66">
        <f t="shared" si="1"/>
        <v>93800.446553959555</v>
      </c>
      <c r="I25" s="66">
        <f t="shared" si="2"/>
        <v>3014.3810801839554</v>
      </c>
    </row>
    <row r="26" spans="1:9" x14ac:dyDescent="0.3">
      <c r="A26" s="136" t="s">
        <v>32</v>
      </c>
      <c r="B26" s="158">
        <v>2976149</v>
      </c>
      <c r="C26" s="161">
        <v>40000000000</v>
      </c>
      <c r="D26" s="159">
        <v>364000000000</v>
      </c>
      <c r="E26" s="161">
        <v>5000000000</v>
      </c>
      <c r="G26" s="66">
        <f t="shared" si="0"/>
        <v>13440.187302450247</v>
      </c>
      <c r="H26" s="66">
        <f t="shared" si="1"/>
        <v>122305.70445229724</v>
      </c>
      <c r="I26" s="66">
        <f t="shared" si="2"/>
        <v>1680.0234128062809</v>
      </c>
    </row>
    <row r="27" spans="1:9" x14ac:dyDescent="0.3">
      <c r="A27" s="136" t="s">
        <v>33</v>
      </c>
      <c r="B27" s="158">
        <v>6137428</v>
      </c>
      <c r="C27" s="161">
        <v>62000000000</v>
      </c>
      <c r="D27" s="159">
        <v>518000000000</v>
      </c>
      <c r="E27" s="161">
        <v>9000000000</v>
      </c>
      <c r="G27" s="66">
        <f t="shared" si="0"/>
        <v>10101.951501508449</v>
      </c>
      <c r="H27" s="66">
        <f t="shared" si="1"/>
        <v>84400.175448086724</v>
      </c>
      <c r="I27" s="66">
        <f t="shared" si="2"/>
        <v>1466.4123147350974</v>
      </c>
    </row>
    <row r="28" spans="1:9" x14ac:dyDescent="0.3">
      <c r="A28" s="136" t="s">
        <v>34</v>
      </c>
      <c r="B28" s="158">
        <v>1068778</v>
      </c>
      <c r="C28" s="161">
        <v>11000000000</v>
      </c>
      <c r="D28" s="159">
        <v>118000000000</v>
      </c>
      <c r="E28" s="161">
        <v>3000000000</v>
      </c>
      <c r="G28" s="66">
        <f t="shared" si="0"/>
        <v>10292.128019102189</v>
      </c>
      <c r="H28" s="66">
        <f t="shared" si="1"/>
        <v>110406.4642049144</v>
      </c>
      <c r="I28" s="66">
        <f t="shared" si="2"/>
        <v>2806.9440052096879</v>
      </c>
    </row>
    <row r="29" spans="1:9" x14ac:dyDescent="0.3">
      <c r="A29" s="136" t="s">
        <v>35</v>
      </c>
      <c r="B29" s="158">
        <v>1934408</v>
      </c>
      <c r="C29" s="161">
        <v>22000000000</v>
      </c>
      <c r="D29" s="159">
        <v>192000000000</v>
      </c>
      <c r="E29" s="161">
        <v>6000000000</v>
      </c>
      <c r="G29" s="66">
        <f t="shared" si="0"/>
        <v>11372.988531891928</v>
      </c>
      <c r="H29" s="66">
        <f t="shared" si="1"/>
        <v>99255.17264196591</v>
      </c>
      <c r="I29" s="66">
        <f t="shared" si="2"/>
        <v>3101.7241450614347</v>
      </c>
    </row>
    <row r="30" spans="1:9" x14ac:dyDescent="0.3">
      <c r="A30" s="136" t="s">
        <v>36</v>
      </c>
      <c r="B30" s="158">
        <v>3080156</v>
      </c>
      <c r="C30" s="161">
        <v>29000000000</v>
      </c>
      <c r="D30" s="159">
        <v>270000000000</v>
      </c>
      <c r="E30" s="161">
        <v>8000000000</v>
      </c>
      <c r="G30" s="66">
        <f t="shared" si="0"/>
        <v>9415.1075465008907</v>
      </c>
      <c r="H30" s="66">
        <f t="shared" si="1"/>
        <v>87657.897846732434</v>
      </c>
      <c r="I30" s="66">
        <f t="shared" si="2"/>
        <v>2597.2710473105908</v>
      </c>
    </row>
    <row r="31" spans="1:9" x14ac:dyDescent="0.3">
      <c r="A31" s="136" t="s">
        <v>37</v>
      </c>
      <c r="B31" s="158">
        <v>1359711</v>
      </c>
      <c r="C31" s="161">
        <v>9000000000</v>
      </c>
      <c r="D31" s="159">
        <v>108000000000</v>
      </c>
      <c r="E31" s="161">
        <v>4000000000</v>
      </c>
      <c r="G31" s="66">
        <f t="shared" si="0"/>
        <v>6619.0536077151692</v>
      </c>
      <c r="H31" s="66">
        <f t="shared" si="1"/>
        <v>79428.643292582026</v>
      </c>
      <c r="I31" s="66">
        <f t="shared" si="2"/>
        <v>2941.801603428964</v>
      </c>
    </row>
    <row r="32" spans="1:9" x14ac:dyDescent="0.3">
      <c r="A32" s="136" t="s">
        <v>38</v>
      </c>
      <c r="B32" s="158">
        <v>8882190</v>
      </c>
      <c r="C32" s="161">
        <v>56000000000</v>
      </c>
      <c r="D32" s="159">
        <v>757000000000</v>
      </c>
      <c r="E32" s="161">
        <v>29000000000</v>
      </c>
      <c r="G32" s="66">
        <f t="shared" si="0"/>
        <v>6304.7514182876066</v>
      </c>
      <c r="H32" s="66">
        <f t="shared" si="1"/>
        <v>85226.728993637837</v>
      </c>
      <c r="I32" s="66">
        <f t="shared" si="2"/>
        <v>3264.9605558989392</v>
      </c>
    </row>
    <row r="33" spans="1:9" x14ac:dyDescent="0.3">
      <c r="A33" s="136" t="s">
        <v>39</v>
      </c>
      <c r="B33" s="158">
        <v>2096829</v>
      </c>
      <c r="C33" s="161">
        <v>19000000000</v>
      </c>
      <c r="D33" s="159">
        <v>208000000000</v>
      </c>
      <c r="E33" s="161">
        <v>5000000000</v>
      </c>
      <c r="G33" s="66">
        <f t="shared" si="0"/>
        <v>9061.3016130547603</v>
      </c>
      <c r="H33" s="66">
        <f t="shared" si="1"/>
        <v>99197.407132388951</v>
      </c>
      <c r="I33" s="66">
        <f t="shared" si="2"/>
        <v>2384.5530560670422</v>
      </c>
    </row>
    <row r="34" spans="1:9" x14ac:dyDescent="0.3">
      <c r="A34" s="136" t="s">
        <v>40</v>
      </c>
      <c r="B34" s="158">
        <v>19453561</v>
      </c>
      <c r="C34" s="161">
        <v>119000000000</v>
      </c>
      <c r="D34" s="159">
        <v>1465000000000</v>
      </c>
      <c r="E34" s="161">
        <v>63000000000</v>
      </c>
      <c r="G34" s="66">
        <f t="shared" si="0"/>
        <v>6117.1319739352602</v>
      </c>
      <c r="H34" s="66">
        <f t="shared" si="1"/>
        <v>75307.549090883665</v>
      </c>
      <c r="I34" s="66">
        <f t="shared" si="2"/>
        <v>3238.4816332598439</v>
      </c>
    </row>
    <row r="35" spans="1:9" x14ac:dyDescent="0.3">
      <c r="A35" s="136" t="s">
        <v>41</v>
      </c>
      <c r="B35" s="158">
        <v>10488084</v>
      </c>
      <c r="C35" s="161">
        <v>92000000000</v>
      </c>
      <c r="D35" s="159">
        <v>839000000000</v>
      </c>
      <c r="E35" s="161">
        <v>16000000000</v>
      </c>
      <c r="G35" s="66">
        <f t="shared" si="0"/>
        <v>8771.8595693932275</v>
      </c>
      <c r="H35" s="66">
        <f t="shared" si="1"/>
        <v>79995.545420879542</v>
      </c>
      <c r="I35" s="66">
        <f t="shared" si="2"/>
        <v>1525.5407946770831</v>
      </c>
    </row>
    <row r="36" spans="1:9" x14ac:dyDescent="0.3">
      <c r="A36" s="136" t="s">
        <v>42</v>
      </c>
      <c r="B36" s="158">
        <v>762062</v>
      </c>
      <c r="C36" s="161">
        <v>17000000000</v>
      </c>
      <c r="D36" s="159">
        <v>102000000000</v>
      </c>
      <c r="E36" s="161">
        <v>2000000000</v>
      </c>
      <c r="G36" s="66">
        <f t="shared" si="0"/>
        <v>22307.89620792009</v>
      </c>
      <c r="H36" s="66">
        <f t="shared" si="1"/>
        <v>133847.37724752055</v>
      </c>
      <c r="I36" s="66">
        <f t="shared" si="2"/>
        <v>2624.4583774023636</v>
      </c>
    </row>
    <row r="37" spans="1:9" x14ac:dyDescent="0.3">
      <c r="A37" s="136" t="s">
        <v>43</v>
      </c>
      <c r="B37" s="158">
        <v>11689100</v>
      </c>
      <c r="C37" s="161">
        <v>98000000000</v>
      </c>
      <c r="D37" s="159">
        <v>1066000000000</v>
      </c>
      <c r="E37" s="161">
        <v>35000000000</v>
      </c>
      <c r="G37" s="66">
        <f t="shared" si="0"/>
        <v>8383.8789983831084</v>
      </c>
      <c r="H37" s="66">
        <f t="shared" si="1"/>
        <v>91196.071553840753</v>
      </c>
      <c r="I37" s="66">
        <f t="shared" si="2"/>
        <v>2994.2424994225389</v>
      </c>
    </row>
    <row r="38" spans="1:9" x14ac:dyDescent="0.3">
      <c r="A38" s="136" t="s">
        <v>44</v>
      </c>
      <c r="B38" s="158">
        <v>3956971</v>
      </c>
      <c r="C38" s="161">
        <v>47000000000</v>
      </c>
      <c r="D38" s="159">
        <v>485000000000</v>
      </c>
      <c r="E38" s="161">
        <v>12000000000</v>
      </c>
      <c r="G38" s="66">
        <f t="shared" si="0"/>
        <v>11877.772164617836</v>
      </c>
      <c r="H38" s="66">
        <f t="shared" si="1"/>
        <v>122568.4999965883</v>
      </c>
      <c r="I38" s="66">
        <f t="shared" si="2"/>
        <v>3032.6226803279578</v>
      </c>
    </row>
    <row r="39" spans="1:9" x14ac:dyDescent="0.3">
      <c r="A39" s="136" t="s">
        <v>45</v>
      </c>
      <c r="B39" s="158">
        <v>4217737</v>
      </c>
      <c r="C39" s="161">
        <v>42000000000</v>
      </c>
      <c r="D39" s="159">
        <v>339000000000</v>
      </c>
      <c r="E39" s="161">
        <v>11000000000</v>
      </c>
      <c r="G39" s="66">
        <f t="shared" si="0"/>
        <v>9957.9466429509466</v>
      </c>
      <c r="H39" s="66">
        <f t="shared" si="1"/>
        <v>80374.855046675497</v>
      </c>
      <c r="I39" s="66">
        <f t="shared" si="2"/>
        <v>2608.0336445823909</v>
      </c>
    </row>
    <row r="40" spans="1:9" x14ac:dyDescent="0.3">
      <c r="A40" s="136" t="s">
        <v>46</v>
      </c>
      <c r="B40" s="158">
        <v>12801989</v>
      </c>
      <c r="C40" s="161">
        <v>117000000000</v>
      </c>
      <c r="D40" s="159">
        <v>1156000000000</v>
      </c>
      <c r="E40" s="161">
        <v>41000000000</v>
      </c>
      <c r="G40" s="66">
        <f t="shared" si="0"/>
        <v>9139.2048532458502</v>
      </c>
      <c r="H40" s="66">
        <f t="shared" si="1"/>
        <v>90298.468464548758</v>
      </c>
      <c r="I40" s="66">
        <f t="shared" si="2"/>
        <v>3202.6273417357256</v>
      </c>
    </row>
    <row r="41" spans="1:9" x14ac:dyDescent="0.3">
      <c r="A41" s="136" t="s">
        <v>47</v>
      </c>
      <c r="B41" s="158">
        <v>1059361</v>
      </c>
      <c r="C41" s="161">
        <v>6000000000</v>
      </c>
      <c r="D41" s="159">
        <v>100000000000</v>
      </c>
      <c r="E41" s="161">
        <v>3000000000</v>
      </c>
      <c r="G41" s="66">
        <f t="shared" si="0"/>
        <v>5663.7916630874652</v>
      </c>
      <c r="H41" s="66">
        <f t="shared" si="1"/>
        <v>94396.527718124416</v>
      </c>
      <c r="I41" s="66">
        <f t="shared" si="2"/>
        <v>2831.8958315437326</v>
      </c>
    </row>
    <row r="42" spans="1:9" x14ac:dyDescent="0.3">
      <c r="A42" s="136" t="s">
        <v>48</v>
      </c>
      <c r="B42" s="158">
        <v>5148714</v>
      </c>
      <c r="C42" s="161">
        <v>53000000000</v>
      </c>
      <c r="D42" s="159">
        <v>446000000000</v>
      </c>
      <c r="E42" s="161">
        <v>8000000000</v>
      </c>
      <c r="G42" s="66">
        <f t="shared" si="0"/>
        <v>10293.832595867629</v>
      </c>
      <c r="H42" s="66">
        <f t="shared" si="1"/>
        <v>86623.572410508728</v>
      </c>
      <c r="I42" s="66">
        <f t="shared" si="2"/>
        <v>1553.7860522064345</v>
      </c>
    </row>
    <row r="43" spans="1:9" x14ac:dyDescent="0.3">
      <c r="A43" s="136" t="s">
        <v>49</v>
      </c>
      <c r="B43" s="158">
        <v>884659</v>
      </c>
      <c r="C43" s="161">
        <v>10000000000</v>
      </c>
      <c r="D43" s="159">
        <v>98000000000</v>
      </c>
      <c r="E43" s="161">
        <v>3000000000</v>
      </c>
      <c r="G43" s="66">
        <f t="shared" si="0"/>
        <v>11303.790500068388</v>
      </c>
      <c r="H43" s="66">
        <f t="shared" si="1"/>
        <v>110777.1469006702</v>
      </c>
      <c r="I43" s="66">
        <f t="shared" si="2"/>
        <v>3391.1371500205164</v>
      </c>
    </row>
    <row r="44" spans="1:9" x14ac:dyDescent="0.3">
      <c r="A44" s="136" t="s">
        <v>50</v>
      </c>
      <c r="B44" s="158">
        <v>6829174</v>
      </c>
      <c r="C44" s="161">
        <v>74000000000</v>
      </c>
      <c r="D44" s="159">
        <v>588000000000</v>
      </c>
      <c r="E44" s="161">
        <v>10000000000</v>
      </c>
      <c r="G44" s="66">
        <f t="shared" si="0"/>
        <v>10835.863898035106</v>
      </c>
      <c r="H44" s="66">
        <f t="shared" si="1"/>
        <v>86101.188811414089</v>
      </c>
      <c r="I44" s="66">
        <f t="shared" si="2"/>
        <v>1464.3059321669064</v>
      </c>
    </row>
    <row r="45" spans="1:9" x14ac:dyDescent="0.3">
      <c r="A45" s="136" t="s">
        <v>51</v>
      </c>
      <c r="B45" s="158">
        <v>28995881</v>
      </c>
      <c r="C45" s="161">
        <v>322000000000</v>
      </c>
      <c r="D45" s="159">
        <v>3157000000000</v>
      </c>
      <c r="E45" s="161">
        <v>44000000000</v>
      </c>
      <c r="G45" s="66">
        <f t="shared" si="0"/>
        <v>11105.025572425269</v>
      </c>
      <c r="H45" s="66">
        <f t="shared" si="1"/>
        <v>108877.53332964775</v>
      </c>
      <c r="I45" s="66">
        <f t="shared" si="2"/>
        <v>1517.4569105177386</v>
      </c>
    </row>
    <row r="46" spans="1:9" x14ac:dyDescent="0.3">
      <c r="A46" s="136" t="s">
        <v>53</v>
      </c>
      <c r="B46" s="158">
        <v>3205958</v>
      </c>
      <c r="C46" s="161">
        <v>19000000000</v>
      </c>
      <c r="D46" s="159">
        <v>251000000000</v>
      </c>
      <c r="E46" s="161">
        <v>8000000000</v>
      </c>
      <c r="G46" s="66">
        <f t="shared" si="0"/>
        <v>5926.4656617460369</v>
      </c>
      <c r="H46" s="66">
        <f t="shared" si="1"/>
        <v>78291.73058411869</v>
      </c>
      <c r="I46" s="66">
        <f t="shared" si="2"/>
        <v>2495.3539628404365</v>
      </c>
    </row>
    <row r="47" spans="1:9" x14ac:dyDescent="0.3">
      <c r="A47" s="136" t="s">
        <v>54</v>
      </c>
      <c r="B47" s="158">
        <v>623989</v>
      </c>
      <c r="C47" s="161">
        <v>4000000000</v>
      </c>
      <c r="D47" s="159">
        <v>50000000000</v>
      </c>
      <c r="E47" s="161">
        <v>2000000000</v>
      </c>
      <c r="G47" s="66">
        <f t="shared" si="0"/>
        <v>6410.3694135633805</v>
      </c>
      <c r="H47" s="66">
        <f t="shared" si="1"/>
        <v>80129.617669542247</v>
      </c>
      <c r="I47" s="66">
        <f t="shared" si="2"/>
        <v>3205.1847067816902</v>
      </c>
    </row>
    <row r="48" spans="1:9" x14ac:dyDescent="0.3">
      <c r="A48" s="136" t="s">
        <v>55</v>
      </c>
      <c r="B48" s="158">
        <v>8535519</v>
      </c>
      <c r="C48" s="161">
        <v>90000000000</v>
      </c>
      <c r="D48" s="159">
        <v>741000000000</v>
      </c>
      <c r="E48" s="161">
        <v>13000000000</v>
      </c>
      <c r="G48" s="66">
        <f t="shared" si="0"/>
        <v>10544.174290983361</v>
      </c>
      <c r="H48" s="66">
        <f t="shared" si="1"/>
        <v>86813.701662429667</v>
      </c>
      <c r="I48" s="66">
        <f t="shared" si="2"/>
        <v>1523.0473975864854</v>
      </c>
    </row>
    <row r="49" spans="1:9" x14ac:dyDescent="0.3">
      <c r="A49" s="136" t="s">
        <v>56</v>
      </c>
      <c r="B49" s="158">
        <v>7614893</v>
      </c>
      <c r="C49" s="161">
        <v>78000000000</v>
      </c>
      <c r="D49" s="159">
        <v>593000000000</v>
      </c>
      <c r="E49" s="161">
        <v>20000000000</v>
      </c>
      <c r="G49" s="66">
        <f t="shared" si="0"/>
        <v>10243.085490498685</v>
      </c>
      <c r="H49" s="66">
        <f t="shared" si="1"/>
        <v>77873.714049560513</v>
      </c>
      <c r="I49" s="66">
        <f t="shared" si="2"/>
        <v>2626.4321770509446</v>
      </c>
    </row>
    <row r="50" spans="1:9" x14ac:dyDescent="0.3">
      <c r="A50" s="136" t="s">
        <v>57</v>
      </c>
      <c r="B50" s="158">
        <v>1792147</v>
      </c>
      <c r="C50" s="161">
        <v>26000000000</v>
      </c>
      <c r="D50" s="159">
        <v>187000000000</v>
      </c>
      <c r="E50" s="161">
        <v>3000000000</v>
      </c>
      <c r="G50" s="66">
        <f t="shared" si="0"/>
        <v>14507.738483506097</v>
      </c>
      <c r="H50" s="66">
        <f t="shared" si="1"/>
        <v>104344.11909290923</v>
      </c>
      <c r="I50" s="66">
        <f t="shared" si="2"/>
        <v>1673.9698250199342</v>
      </c>
    </row>
    <row r="51" spans="1:9" x14ac:dyDescent="0.3">
      <c r="A51" s="136" t="s">
        <v>58</v>
      </c>
      <c r="B51" s="158">
        <v>5822434</v>
      </c>
      <c r="C51" s="161">
        <v>55000000000</v>
      </c>
      <c r="D51" s="159">
        <v>550000000000</v>
      </c>
      <c r="E51" s="161">
        <v>17000000000</v>
      </c>
      <c r="G51" s="66">
        <f t="shared" si="0"/>
        <v>9446.2212882103941</v>
      </c>
      <c r="H51" s="66">
        <f t="shared" si="1"/>
        <v>94462.212882103951</v>
      </c>
      <c r="I51" s="66">
        <f t="shared" si="2"/>
        <v>2919.7411254468493</v>
      </c>
    </row>
    <row r="52" spans="1:9" x14ac:dyDescent="0.3">
      <c r="A52" s="136" t="s">
        <v>59</v>
      </c>
      <c r="B52" s="158">
        <v>578759</v>
      </c>
      <c r="C52" s="161">
        <v>13000000000</v>
      </c>
      <c r="D52" s="159">
        <v>92000000000</v>
      </c>
      <c r="E52" s="161">
        <v>2000000000</v>
      </c>
      <c r="G52" s="66">
        <f t="shared" si="0"/>
        <v>22461.853724952874</v>
      </c>
      <c r="H52" s="66">
        <f t="shared" si="1"/>
        <v>158960.81097658956</v>
      </c>
      <c r="I52" s="66">
        <f t="shared" si="2"/>
        <v>3455.6698038389036</v>
      </c>
    </row>
    <row r="53" spans="1:9" x14ac:dyDescent="0.3">
      <c r="A53" s="157" t="s">
        <v>559</v>
      </c>
      <c r="B53" s="160">
        <v>328239523</v>
      </c>
      <c r="C53" s="163">
        <v>2876000000000</v>
      </c>
      <c r="D53" s="162">
        <v>29210000000000</v>
      </c>
      <c r="E53" s="163">
        <v>788000000000</v>
      </c>
      <c r="G53" s="66">
        <f t="shared" si="0"/>
        <v>8761.8942829136395</v>
      </c>
      <c r="H53" s="66">
        <f t="shared" si="1"/>
        <v>88989.892908173642</v>
      </c>
      <c r="I53" s="66">
        <f t="shared" si="2"/>
        <v>2400.6859161807884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434B6-EE21-4A74-BCA8-A1C373E894A1}">
  <dimension ref="B2:Q55"/>
  <sheetViews>
    <sheetView workbookViewId="0">
      <selection activeCell="M5" sqref="M5"/>
    </sheetView>
  </sheetViews>
  <sheetFormatPr defaultRowHeight="14.4" x14ac:dyDescent="0.3"/>
  <cols>
    <col min="2" max="2" width="13.21875" customWidth="1"/>
    <col min="3" max="3" width="17.77734375" customWidth="1"/>
    <col min="4" max="4" width="18.5546875" customWidth="1"/>
    <col min="5" max="5" width="19.5546875" bestFit="1" customWidth="1"/>
    <col min="6" max="6" width="16.33203125" customWidth="1"/>
    <col min="7" max="7" width="17" customWidth="1"/>
    <col min="8" max="9" width="18.6640625" customWidth="1"/>
    <col min="10" max="11" width="18.21875" customWidth="1"/>
    <col min="12" max="12" width="13.21875" customWidth="1"/>
    <col min="13" max="13" width="13.77734375" style="9" customWidth="1"/>
    <col min="14" max="14" width="13.33203125" style="9" customWidth="1"/>
    <col min="15" max="15" width="12" bestFit="1" customWidth="1"/>
    <col min="16" max="17" width="12" customWidth="1"/>
    <col min="18" max="18" width="15.33203125" customWidth="1"/>
  </cols>
  <sheetData>
    <row r="2" spans="2:17" x14ac:dyDescent="0.3">
      <c r="B2" t="s">
        <v>476</v>
      </c>
      <c r="C2" s="174"/>
      <c r="D2" s="174"/>
      <c r="E2" s="174"/>
      <c r="N2" s="174"/>
      <c r="O2" s="174"/>
      <c r="P2" s="75"/>
      <c r="Q2" s="76"/>
    </row>
    <row r="3" spans="2:17" s="12" customFormat="1" x14ac:dyDescent="0.3">
      <c r="C3" s="171" t="s">
        <v>375</v>
      </c>
      <c r="D3" s="171"/>
      <c r="E3" s="171"/>
      <c r="F3" s="171"/>
      <c r="G3" s="171"/>
      <c r="H3" s="171"/>
      <c r="I3" s="171"/>
      <c r="J3" s="171"/>
      <c r="K3" s="128"/>
      <c r="M3" s="171" t="s">
        <v>376</v>
      </c>
      <c r="N3" s="171"/>
      <c r="O3" s="171"/>
    </row>
    <row r="4" spans="2:17" ht="43.2" x14ac:dyDescent="0.3">
      <c r="B4" s="11" t="s">
        <v>345</v>
      </c>
      <c r="C4" s="11" t="s">
        <v>346</v>
      </c>
      <c r="D4" s="11" t="s">
        <v>5</v>
      </c>
      <c r="E4" s="11" t="s">
        <v>347</v>
      </c>
      <c r="F4" s="11" t="s">
        <v>348</v>
      </c>
      <c r="G4" s="11" t="s">
        <v>349</v>
      </c>
      <c r="H4" s="11" t="s">
        <v>350</v>
      </c>
      <c r="I4" s="11" t="s">
        <v>452</v>
      </c>
      <c r="J4" s="11"/>
      <c r="K4" s="11"/>
      <c r="L4" s="11" t="s">
        <v>345</v>
      </c>
      <c r="M4" s="11" t="s">
        <v>346</v>
      </c>
      <c r="N4" s="11" t="s">
        <v>5</v>
      </c>
      <c r="O4" s="11" t="s">
        <v>347</v>
      </c>
    </row>
    <row r="5" spans="2:17" x14ac:dyDescent="0.3">
      <c r="B5" s="105" t="s">
        <v>9</v>
      </c>
      <c r="C5" s="58">
        <f>'Electricity Energy'!S5</f>
        <v>72590881804.703201</v>
      </c>
      <c r="D5" s="35">
        <f>Transportation!G5</f>
        <v>94343539610.304047</v>
      </c>
      <c r="E5" s="35">
        <f>'Direct Use Apps. ENERGY'!H5</f>
        <v>170501804579.05753</v>
      </c>
      <c r="F5" s="35">
        <f>'Direct Use Apps Household'!G5</f>
        <v>7548061792.4890156</v>
      </c>
      <c r="G5" s="35">
        <f>'Commercial buildings Direct Use'!D5</f>
        <v>134305432970.34573</v>
      </c>
      <c r="H5" s="35">
        <f>'on road vehicles'!Q5</f>
        <v>92324574000</v>
      </c>
      <c r="I5" s="35">
        <f>OffRoad!G5</f>
        <v>4616204046.653286</v>
      </c>
      <c r="J5" s="35">
        <f>SUM(C5:I5)</f>
        <v>576230498803.55286</v>
      </c>
      <c r="K5" s="35"/>
      <c r="L5" s="105" t="s">
        <v>9</v>
      </c>
      <c r="M5" s="9">
        <f>emissions!C6*10^6</f>
        <v>55245429.537803024</v>
      </c>
      <c r="N5" s="9">
        <f>emissions!F6*10^6</f>
        <v>34693717.799795724</v>
      </c>
      <c r="O5" s="9">
        <f>(emissions!B6+emissions!D6+emissions!E6)*10^6</f>
        <v>25149151.022165015</v>
      </c>
    </row>
    <row r="6" spans="2:17" x14ac:dyDescent="0.3">
      <c r="B6" s="105" t="s">
        <v>10</v>
      </c>
      <c r="C6" s="58">
        <f>'Electricity Energy'!S6</f>
        <v>5175246439.0410957</v>
      </c>
      <c r="D6" s="35">
        <f>Transportation!G6</f>
        <v>9379932077.9548779</v>
      </c>
      <c r="E6" s="35">
        <f>'Direct Use Apps. ENERGY'!H6</f>
        <v>88155167598.109268</v>
      </c>
      <c r="F6" s="35">
        <f>'Direct Use Apps Household'!G6</f>
        <v>1922377216.134711</v>
      </c>
      <c r="G6" s="35">
        <f>'Commercial buildings Direct Use'!D6</f>
        <v>17359566353.48695</v>
      </c>
      <c r="H6" s="35">
        <f>'on road vehicles'!Q6</f>
        <v>15500666000</v>
      </c>
      <c r="I6" s="35">
        <f>OffRoad!G6</f>
        <v>1258964739.9963505</v>
      </c>
      <c r="J6" s="35">
        <f t="shared" ref="J6:J54" si="0">SUM(C6:I6)</f>
        <v>138751920424.72324</v>
      </c>
      <c r="K6" s="35"/>
      <c r="L6" s="105" t="s">
        <v>10</v>
      </c>
      <c r="M6" s="9">
        <f>emissions!C7*10^6</f>
        <v>2749023.2572052791</v>
      </c>
      <c r="N6" s="9">
        <f>emissions!F7*10^6</f>
        <v>11852993.947250299</v>
      </c>
      <c r="O6" s="9">
        <f>(emissions!B7+emissions!D7+emissions!E7)*10^6</f>
        <v>20307428.857744105</v>
      </c>
    </row>
    <row r="7" spans="2:17" x14ac:dyDescent="0.3">
      <c r="B7" s="105" t="s">
        <v>11</v>
      </c>
      <c r="C7" s="58">
        <f>'Electricity Energy'!S7</f>
        <v>64125792749.315063</v>
      </c>
      <c r="D7" s="35">
        <f>Transportation!G7</f>
        <v>111864930838.07899</v>
      </c>
      <c r="E7" s="35">
        <f>'Direct Use Apps. ENERGY'!H7</f>
        <v>81962102774.521301</v>
      </c>
      <c r="F7" s="35">
        <f>'Direct Use Apps Household'!G7</f>
        <v>18695278616.756439</v>
      </c>
      <c r="G7" s="35">
        <f>'Commercial buildings Direct Use'!D7</f>
        <v>168823229343.64554</v>
      </c>
      <c r="H7" s="35">
        <f>'on road vehicles'!Q7</f>
        <v>97245294000</v>
      </c>
      <c r="I7" s="35">
        <f>OffRoad!G7</f>
        <v>7134133526.6459866</v>
      </c>
      <c r="J7" s="35">
        <f t="shared" si="0"/>
        <v>549850761848.96326</v>
      </c>
      <c r="K7" s="35"/>
      <c r="L7" s="105" t="s">
        <v>11</v>
      </c>
      <c r="M7" s="9">
        <f>emissions!C8*10^6</f>
        <v>44275470.023261465</v>
      </c>
      <c r="N7" s="9">
        <f>emissions!F8*10^6</f>
        <v>33078497.851879802</v>
      </c>
      <c r="O7" s="9">
        <f>(emissions!B8+emissions!D8+emissions!E8)*10^6</f>
        <v>9651982.1994279306</v>
      </c>
    </row>
    <row r="8" spans="2:17" x14ac:dyDescent="0.3">
      <c r="B8" s="105" t="s">
        <v>12</v>
      </c>
      <c r="C8" s="58">
        <f>'Electricity Energy'!S8</f>
        <v>38823198884.246582</v>
      </c>
      <c r="D8" s="35">
        <f>Transportation!G8</f>
        <v>53263883608.581635</v>
      </c>
      <c r="E8" s="35">
        <f>'Direct Use Apps. ENERGY'!H8</f>
        <v>80954516126.269363</v>
      </c>
      <c r="F8" s="35">
        <f>'Direct Use Apps Household'!G8</f>
        <v>4654078909.1504679</v>
      </c>
      <c r="G8" s="35">
        <f>'Commercial buildings Direct Use'!D8</f>
        <v>82811733681.566544</v>
      </c>
      <c r="H8" s="35">
        <f>'on road vehicles'!Q8</f>
        <v>50410660000</v>
      </c>
      <c r="I8" s="35">
        <f>OffRoad!G8</f>
        <v>2517929479.9927011</v>
      </c>
      <c r="J8" s="35">
        <f t="shared" si="0"/>
        <v>313436000689.80731</v>
      </c>
      <c r="K8" s="35"/>
      <c r="L8" s="105" t="s">
        <v>12</v>
      </c>
      <c r="M8" s="9">
        <f>emissions!C9*10^6</f>
        <v>30223829.32577499</v>
      </c>
      <c r="N8" s="9">
        <f>emissions!F9*10^6</f>
        <v>19379290.01135521</v>
      </c>
      <c r="O8" s="9">
        <f>(emissions!B9+emissions!D9+emissions!E9)*10^6</f>
        <v>12807677.817687791</v>
      </c>
    </row>
    <row r="9" spans="2:17" x14ac:dyDescent="0.3">
      <c r="B9" s="105" t="s">
        <v>13</v>
      </c>
      <c r="C9" s="58">
        <f>'Electricity Energy'!S9</f>
        <v>180829741821.91779</v>
      </c>
      <c r="D9" s="35">
        <f>Transportation!G9</f>
        <v>538124671016.38708</v>
      </c>
      <c r="E9" s="35">
        <f>'Direct Use Apps. ENERGY'!H9</f>
        <v>537896590071.57111</v>
      </c>
      <c r="F9" s="35">
        <f>'Direct Use Apps Household'!G9</f>
        <v>103118583590.23466</v>
      </c>
      <c r="G9" s="35">
        <f>'Commercial buildings Direct Use'!D9</f>
        <v>931187635333.91174</v>
      </c>
      <c r="H9" s="35">
        <f>'on road vehicles'!Q9</f>
        <v>471273164000</v>
      </c>
      <c r="I9" s="35">
        <f>OffRoad!G9</f>
        <v>60849962433.156929</v>
      </c>
      <c r="J9" s="35">
        <f t="shared" si="0"/>
        <v>2823280348267.1792</v>
      </c>
      <c r="K9" s="35"/>
      <c r="L9" s="105" t="s">
        <v>13</v>
      </c>
      <c r="M9" s="9">
        <f>emissions!C10*10^6</f>
        <v>36571928.32333333</v>
      </c>
      <c r="N9" s="9">
        <f>emissions!F10*10^6</f>
        <v>212954633.67585701</v>
      </c>
      <c r="O9" s="9">
        <f>(emissions!B10+emissions!D10+emissions!E10)*10^6</f>
        <v>111827453.52915069</v>
      </c>
    </row>
    <row r="10" spans="2:17" x14ac:dyDescent="0.3">
      <c r="B10" s="105" t="s">
        <v>14</v>
      </c>
      <c r="C10" s="58">
        <f>'Electricity Energy'!S10</f>
        <v>40733983132.42009</v>
      </c>
      <c r="D10" s="35">
        <f>Transportation!G10</f>
        <v>89300990694.759567</v>
      </c>
      <c r="E10" s="35">
        <f>'Direct Use Apps. ENERGY'!H10</f>
        <v>111791917002.57484</v>
      </c>
      <c r="F10" s="35">
        <f>'Direct Use Apps Household'!G10</f>
        <v>14847380344.70298</v>
      </c>
      <c r="G10" s="35">
        <f>'Commercial buildings Direct Use'!D10</f>
        <v>134075706945.57584</v>
      </c>
      <c r="H10" s="35">
        <f>'on road vehicles'!Q10</f>
        <v>89776896000</v>
      </c>
      <c r="I10" s="35">
        <f>OffRoad!G10</f>
        <v>7553788439.9781036</v>
      </c>
      <c r="J10" s="35">
        <f t="shared" si="0"/>
        <v>488080662560.01141</v>
      </c>
      <c r="K10" s="35"/>
      <c r="L10" s="105" t="s">
        <v>14</v>
      </c>
      <c r="M10" s="9">
        <f>emissions!C11*10^6</f>
        <v>35252680.035426103</v>
      </c>
      <c r="N10" s="9">
        <f>emissions!F11*10^6</f>
        <v>28155709.24509012</v>
      </c>
      <c r="O10" s="9">
        <f>(emissions!B11+emissions!D11+emissions!E11)*10^6</f>
        <v>25631054.916013099</v>
      </c>
    </row>
    <row r="11" spans="2:17" x14ac:dyDescent="0.3">
      <c r="B11" s="105" t="s">
        <v>15</v>
      </c>
      <c r="C11" s="58">
        <f>'Electricity Energy'!S11</f>
        <v>23661174759.817352</v>
      </c>
      <c r="D11" s="35">
        <f>Transportation!G11</f>
        <v>57864510466.06916</v>
      </c>
      <c r="E11" s="35">
        <f>'Direct Use Apps. ENERGY'!H11</f>
        <v>60687346451.150116</v>
      </c>
      <c r="F11" s="35">
        <f>'Direct Use Apps Household'!G11</f>
        <v>11478669711.259897</v>
      </c>
      <c r="G11" s="35">
        <f>'Commercial buildings Direct Use'!D11</f>
        <v>98906987887.365341</v>
      </c>
      <c r="H11" s="35">
        <f>'on road vehicles'!Q11</f>
        <v>44763126000</v>
      </c>
      <c r="I11" s="35">
        <f>OffRoad!G11</f>
        <v>5455513873.3175201</v>
      </c>
      <c r="J11" s="35">
        <f t="shared" si="0"/>
        <v>302817329148.97937</v>
      </c>
      <c r="K11" s="35"/>
      <c r="L11" s="105" t="s">
        <v>15</v>
      </c>
      <c r="M11" s="9">
        <f>emissions!C12*10^6</f>
        <v>6986377.5390287936</v>
      </c>
      <c r="N11" s="9">
        <f>emissions!F12*10^6</f>
        <v>15288152.842168748</v>
      </c>
      <c r="O11" s="9">
        <f>(emissions!B12+emissions!D12+emissions!E12)*10^6</f>
        <v>12026799.341761295</v>
      </c>
    </row>
    <row r="12" spans="2:17" x14ac:dyDescent="0.3">
      <c r="B12" s="105" t="s">
        <v>16</v>
      </c>
      <c r="C12" s="58">
        <f>'Electricity Energy'!S12</f>
        <v>9424868571.8721466</v>
      </c>
      <c r="D12" s="35">
        <f>Transportation!G12</f>
        <v>17944217888.261501</v>
      </c>
      <c r="E12" s="35">
        <f>'Direct Use Apps. ENERGY'!H12</f>
        <v>25426910305.823658</v>
      </c>
      <c r="F12" s="35">
        <f>'Direct Use Apps Household'!G12</f>
        <v>3107438414.5473886</v>
      </c>
      <c r="G12" s="35">
        <f>'Commercial buildings Direct Use'!D12</f>
        <v>26775522021.239334</v>
      </c>
      <c r="H12" s="35">
        <f>'on road vehicles'!Q12</f>
        <v>16354876000</v>
      </c>
      <c r="I12" s="35">
        <f>OffRoad!G12</f>
        <v>1678619653.3284678</v>
      </c>
      <c r="J12" s="35">
        <f t="shared" si="0"/>
        <v>100712452855.07248</v>
      </c>
      <c r="K12" s="35"/>
      <c r="L12" s="105" t="s">
        <v>16</v>
      </c>
      <c r="M12" s="9">
        <f>emissions!C13*10^6</f>
        <v>3584554.7782990169</v>
      </c>
      <c r="N12" s="9">
        <f>emissions!F13*10^6</f>
        <v>4607906.17824273</v>
      </c>
      <c r="O12" s="9">
        <f>(emissions!B13+emissions!D13+emissions!E13)*10^6</f>
        <v>5117083.4793855771</v>
      </c>
    </row>
    <row r="13" spans="2:17" x14ac:dyDescent="0.3">
      <c r="B13" s="105" t="s">
        <v>17</v>
      </c>
      <c r="C13" s="58">
        <f>'Electricity Energy'!S13</f>
        <v>192286069172.37445</v>
      </c>
      <c r="D13" s="35">
        <f>Transportation!G13</f>
        <v>273935753759.5434</v>
      </c>
      <c r="E13" s="35">
        <f>'Direct Use Apps. ENERGY'!H13</f>
        <v>355283359539.52478</v>
      </c>
      <c r="F13" s="35">
        <f>'Direct Use Apps Household'!G13</f>
        <v>32891338834.086685</v>
      </c>
      <c r="G13" s="35">
        <f>'Commercial buildings Direct Use'!D13</f>
        <v>585247660198.29688</v>
      </c>
      <c r="H13" s="35">
        <f>'on road vehicles'!Q13</f>
        <v>260383816000</v>
      </c>
      <c r="I13" s="35">
        <f>OffRoad!G13</f>
        <v>21402400579.937958</v>
      </c>
      <c r="J13" s="35">
        <f t="shared" si="0"/>
        <v>1721430398083.7642</v>
      </c>
      <c r="K13" s="35"/>
      <c r="L13" s="105" t="s">
        <v>17</v>
      </c>
      <c r="M13" s="9">
        <f>emissions!C14*10^6</f>
        <v>105903969.62512539</v>
      </c>
      <c r="N13" s="9">
        <f>emissions!F14*10^6</f>
        <v>103596734.0005369</v>
      </c>
      <c r="O13" s="9">
        <f>(emissions!B14+emissions!D14+emissions!E14)*10^6</f>
        <v>20562286.35509298</v>
      </c>
    </row>
    <row r="14" spans="2:17" x14ac:dyDescent="0.3">
      <c r="B14" s="105" t="s">
        <v>18</v>
      </c>
      <c r="C14" s="58">
        <f>'Electricity Energy'!S14</f>
        <v>103869918265.98174</v>
      </c>
      <c r="D14" s="35">
        <f>Transportation!G14</f>
        <v>185421766236.07645</v>
      </c>
      <c r="E14" s="35">
        <f>'Direct Use Apps. ENERGY'!H14</f>
        <v>177344678697.80042</v>
      </c>
      <c r="F14" s="35">
        <f>'Direct Use Apps Household'!G14</f>
        <v>16244628249.097281</v>
      </c>
      <c r="G14" s="35">
        <f>'Commercial buildings Direct Use'!D14</f>
        <v>289046630832.87756</v>
      </c>
      <c r="H14" s="35">
        <f>'on road vehicles'!Q14</f>
        <v>136991110000</v>
      </c>
      <c r="I14" s="35">
        <f>OffRoad!G14</f>
        <v>12169992486.63139</v>
      </c>
      <c r="J14" s="35">
        <f t="shared" si="0"/>
        <v>921088724768.46484</v>
      </c>
      <c r="K14" s="35"/>
      <c r="L14" s="105" t="s">
        <v>18</v>
      </c>
      <c r="M14" s="9">
        <f>emissions!C14*10^6</f>
        <v>105903969.62512539</v>
      </c>
      <c r="N14" s="9">
        <f>emissions!F14*10^6</f>
        <v>103596734.0005369</v>
      </c>
      <c r="O14" s="9">
        <f>(emissions!B14+emissions!D14+emissions!E14)*10^6</f>
        <v>20562286.35509298</v>
      </c>
    </row>
    <row r="15" spans="2:17" x14ac:dyDescent="0.3">
      <c r="B15" s="105" t="s">
        <v>19</v>
      </c>
      <c r="C15" s="58">
        <f>'Electricity Energy'!S15</f>
        <v>6802520046.5753422</v>
      </c>
      <c r="D15" s="35">
        <f>Transportation!G15</f>
        <v>17342712864.795147</v>
      </c>
      <c r="E15" s="35">
        <f>'Direct Use Apps. ENERGY'!H15</f>
        <v>791493204.21611607</v>
      </c>
      <c r="F15" s="35">
        <f>'Direct Use Apps Household'!G15</f>
        <v>3702981856.2705083</v>
      </c>
      <c r="G15" s="35">
        <f>'Commercial buildings Direct Use'!D15</f>
        <v>33438889464.647919</v>
      </c>
      <c r="H15" s="35">
        <f>'on road vehicles'!Q15</f>
        <v>20636108000</v>
      </c>
      <c r="I15" s="35">
        <f>OffRoad!G15</f>
        <v>1678619653.3284678</v>
      </c>
      <c r="J15" s="35">
        <f t="shared" si="0"/>
        <v>84393325089.833496</v>
      </c>
      <c r="K15" s="35"/>
      <c r="L15" s="105" t="s">
        <v>19</v>
      </c>
      <c r="M15" s="9">
        <f>emissions!C15*10^6</f>
        <v>57477325.196968704</v>
      </c>
      <c r="N15" s="9">
        <f>emissions!F15*10^6</f>
        <v>54039021.885427549</v>
      </c>
      <c r="O15" s="9">
        <f>(emissions!B15+emissions!D15+emissions!E15)*10^6</f>
        <v>24725502.491991952</v>
      </c>
    </row>
    <row r="16" spans="2:17" x14ac:dyDescent="0.3">
      <c r="B16" s="105" t="s">
        <v>20</v>
      </c>
      <c r="C16" s="58">
        <f>'Electricity Energy'!S16</f>
        <v>19485194518.264839</v>
      </c>
      <c r="D16" s="35">
        <f>Transportation!G16</f>
        <v>28059322772.675251</v>
      </c>
      <c r="E16" s="35">
        <f>'Direct Use Apps. ENERGY'!H16</f>
        <v>28218796830.418564</v>
      </c>
      <c r="F16" s="35">
        <f>'Direct Use Apps Household'!G16</f>
        <v>4572926119.2957764</v>
      </c>
      <c r="G16" s="35">
        <f>'Commercial buildings Direct Use'!D16</f>
        <v>41294712469.139961</v>
      </c>
      <c r="H16" s="35">
        <f>'on road vehicles'!Q16</f>
        <v>33067806000</v>
      </c>
      <c r="I16" s="35">
        <f>OffRoad!G16</f>
        <v>1678619653.3284678</v>
      </c>
      <c r="J16" s="35">
        <f t="shared" si="0"/>
        <v>156377378363.12286</v>
      </c>
      <c r="K16" s="35"/>
      <c r="L16" s="105" t="s">
        <v>20</v>
      </c>
      <c r="M16" s="9">
        <f>emissions!C16*10^6</f>
        <v>6577084.963577765</v>
      </c>
      <c r="N16" s="9">
        <f>emissions!F16*10^6</f>
        <v>10166514.28710033</v>
      </c>
      <c r="O16" s="9">
        <f>(emissions!B16+emissions!D16+emissions!E16)*10^6</f>
        <v>1700866.2646964809</v>
      </c>
    </row>
    <row r="17" spans="2:15" x14ac:dyDescent="0.3">
      <c r="B17" s="105" t="s">
        <v>21</v>
      </c>
      <c r="C17" s="58">
        <f>'Electricity Energy'!S17</f>
        <v>113147389273.9726</v>
      </c>
      <c r="D17" s="35">
        <f>Transportation!G17</f>
        <v>175898618676.34387</v>
      </c>
      <c r="E17" s="35">
        <f>'Direct Use Apps. ENERGY'!H17</f>
        <v>253010001988.6835</v>
      </c>
      <c r="F17" s="35">
        <f>'Direct Use Apps Household'!G17</f>
        <v>38056676465.154694</v>
      </c>
      <c r="G17" s="35">
        <f>'Commercial buildings Direct Use'!D17</f>
        <v>352880873523.30768</v>
      </c>
      <c r="H17" s="35">
        <f>'on road vehicles'!Q17</f>
        <v>167610758000</v>
      </c>
      <c r="I17" s="35">
        <f>OffRoad!G17</f>
        <v>17625506359.94891</v>
      </c>
      <c r="J17" s="35">
        <f t="shared" si="0"/>
        <v>1118229824287.4114</v>
      </c>
      <c r="K17" s="35"/>
      <c r="L17" s="105" t="s">
        <v>21</v>
      </c>
      <c r="M17" s="9">
        <f>emissions!C17*10^6</f>
        <v>1253994.3166666669</v>
      </c>
      <c r="N17" s="9">
        <f>emissions!F17*10^6</f>
        <v>10759856.234202189</v>
      </c>
      <c r="O17" s="9">
        <f>(emissions!B17+emissions!D17+emissions!E17)*10^6</f>
        <v>6368059.211970686</v>
      </c>
    </row>
    <row r="18" spans="2:15" x14ac:dyDescent="0.3">
      <c r="B18" s="105" t="s">
        <v>22</v>
      </c>
      <c r="C18" s="58">
        <f>'Electricity Energy'!S18</f>
        <v>63418406978.99543</v>
      </c>
      <c r="D18" s="35">
        <f>Transportation!G18</f>
        <v>114528738799.14424</v>
      </c>
      <c r="E18" s="35">
        <f>'Direct Use Apps. ENERGY'!H18</f>
        <v>188479352090.6604</v>
      </c>
      <c r="F18" s="35">
        <f>'Direct Use Apps Household'!G18</f>
        <v>19988151396.136471</v>
      </c>
      <c r="G18" s="35">
        <f>'Commercial buildings Direct Use'!D18</f>
        <v>185340312920.99298</v>
      </c>
      <c r="H18" s="35">
        <f>'on road vehicles'!Q18</f>
        <v>105336518000</v>
      </c>
      <c r="I18" s="35">
        <f>OffRoad!G18</f>
        <v>7553788439.9781036</v>
      </c>
      <c r="J18" s="35">
        <f t="shared" si="0"/>
        <v>684645268625.90759</v>
      </c>
      <c r="K18" s="35"/>
      <c r="L18" s="105" t="s">
        <v>22</v>
      </c>
      <c r="M18" s="9">
        <f>emissions!C18*10^6</f>
        <v>66402957.112479828</v>
      </c>
      <c r="N18" s="9">
        <f>emissions!F18*10^6</f>
        <v>68296571.64912647</v>
      </c>
      <c r="O18" s="9">
        <f>(emissions!B18+emissions!D18+emissions!E18)*10^6</f>
        <v>69367425.729277864</v>
      </c>
    </row>
    <row r="19" spans="2:15" x14ac:dyDescent="0.3">
      <c r="B19" s="105" t="s">
        <v>23</v>
      </c>
      <c r="C19" s="58">
        <f>'Electricity Energy'!S19</f>
        <v>31661905131.963467</v>
      </c>
      <c r="D19" s="35">
        <f>Transportation!G19</f>
        <v>42588192409.780876</v>
      </c>
      <c r="E19" s="35">
        <f>'Direct Use Apps. ENERGY'!H19</f>
        <v>99245501062.594009</v>
      </c>
      <c r="F19" s="35">
        <f>'Direct Use Apps Household'!G19</f>
        <v>9427174866.0329933</v>
      </c>
      <c r="G19" s="35">
        <f>'Commercial buildings Direct Use'!D19</f>
        <v>87413563415.834442</v>
      </c>
      <c r="H19" s="35">
        <f>'on road vehicles'!Q19</f>
        <v>63220708000</v>
      </c>
      <c r="I19" s="35">
        <f>OffRoad!G19</f>
        <v>3776894219.9890518</v>
      </c>
      <c r="J19" s="35">
        <f t="shared" si="0"/>
        <v>337333939106.19489</v>
      </c>
      <c r="K19" s="35"/>
      <c r="L19" s="105" t="s">
        <v>23</v>
      </c>
      <c r="M19" s="9">
        <f>emissions!C19*10^6</f>
        <v>83652450.161149979</v>
      </c>
      <c r="N19" s="9">
        <f>emissions!F19*10^6</f>
        <v>43360723.853010073</v>
      </c>
      <c r="O19" s="9">
        <f>(emissions!B19+emissions!D19+emissions!E19)*10^6</f>
        <v>54839929.247247182</v>
      </c>
    </row>
    <row r="20" spans="2:15" x14ac:dyDescent="0.3">
      <c r="B20" s="105" t="s">
        <v>24</v>
      </c>
      <c r="C20" s="58">
        <f>'Electricity Energy'!S20</f>
        <v>34354950887.305931</v>
      </c>
      <c r="D20" s="35">
        <f>Transportation!G20</f>
        <v>60584240662.876221</v>
      </c>
      <c r="E20" s="35">
        <f>'Direct Use Apps. ENERGY'!H20</f>
        <v>69349941423.501266</v>
      </c>
      <c r="F20" s="35">
        <f>'Direct Use Apps Household'!G20</f>
        <v>8696453033.1557617</v>
      </c>
      <c r="G20" s="35">
        <f>'Commercial buildings Direct Use'!D20</f>
        <v>80637938672.975739</v>
      </c>
      <c r="H20" s="35">
        <f>'on road vehicles'!Q20</f>
        <v>45835086000</v>
      </c>
      <c r="I20" s="35">
        <f>OffRoad!G20</f>
        <v>3357239306.6569357</v>
      </c>
      <c r="J20" s="35">
        <f t="shared" si="0"/>
        <v>302815849986.47186</v>
      </c>
      <c r="K20" s="35"/>
      <c r="L20" s="105" t="s">
        <v>24</v>
      </c>
      <c r="M20" s="9">
        <f>emissions!C20*10^6</f>
        <v>24705687.294791348</v>
      </c>
      <c r="N20" s="9">
        <f>emissions!F20*10^6</f>
        <v>21359028.572051391</v>
      </c>
      <c r="O20" s="9">
        <f>(emissions!B20+emissions!D20+emissions!E20)*10^6</f>
        <v>27067692.213928305</v>
      </c>
    </row>
    <row r="21" spans="2:15" x14ac:dyDescent="0.3">
      <c r="B21" s="105" t="s">
        <v>25</v>
      </c>
      <c r="C21" s="58">
        <f>'Electricity Energy'!S21</f>
        <v>61006245153.6073</v>
      </c>
      <c r="D21" s="35">
        <f>Transportation!G21</f>
        <v>75883745987.642792</v>
      </c>
      <c r="E21" s="35">
        <f>'Direct Use Apps. ENERGY'!H21</f>
        <v>73281924727.124786</v>
      </c>
      <c r="F21" s="35">
        <f>'Direct Use Apps Household'!G21</f>
        <v>6900299621.1809807</v>
      </c>
      <c r="G21" s="35">
        <f>'Commercial buildings Direct Use'!D21</f>
        <v>122779562982.64806</v>
      </c>
      <c r="H21" s="35">
        <f>'on road vehicles'!Q21</f>
        <v>71715688000</v>
      </c>
      <c r="I21" s="35">
        <f>OffRoad!G21</f>
        <v>4196549133.3211684</v>
      </c>
      <c r="J21" s="35">
        <f t="shared" si="0"/>
        <v>415764015605.52509</v>
      </c>
      <c r="K21" s="35"/>
      <c r="L21" s="105" t="s">
        <v>25</v>
      </c>
      <c r="M21" s="9">
        <f>emissions!C21*10^6</f>
        <v>24838824.57953671</v>
      </c>
      <c r="N21" s="9">
        <f>emissions!F21*10^6</f>
        <v>18672020.799451619</v>
      </c>
      <c r="O21" s="9">
        <f>(emissions!B21+emissions!D21+emissions!E21)*10^6</f>
        <v>18551834.512978103</v>
      </c>
    </row>
    <row r="22" spans="2:15" x14ac:dyDescent="0.3">
      <c r="B22" s="105" t="s">
        <v>26</v>
      </c>
      <c r="C22" s="58">
        <f>'Electricity Energy'!S22</f>
        <v>53736555341.095894</v>
      </c>
      <c r="D22" s="35">
        <f>Transportation!G22</f>
        <v>104975584186.08684</v>
      </c>
      <c r="E22" s="35">
        <f>'Direct Use Apps. ENERGY'!H22</f>
        <v>404470355602.30609</v>
      </c>
      <c r="F22" s="35">
        <f>'Direct Use Apps Household'!G22</f>
        <v>7196139565.8026533</v>
      </c>
      <c r="G22" s="35">
        <f>'Commercial buildings Direct Use'!D22</f>
        <v>128043551665.395</v>
      </c>
      <c r="H22" s="35">
        <f>'on road vehicles'!Q22</f>
        <v>68647830000</v>
      </c>
      <c r="I22" s="35">
        <f>OffRoad!G22</f>
        <v>5035858959.9854021</v>
      </c>
      <c r="J22" s="35">
        <f t="shared" si="0"/>
        <v>772105875320.67175</v>
      </c>
      <c r="K22" s="35"/>
      <c r="L22" s="105" t="s">
        <v>26</v>
      </c>
      <c r="M22" s="9">
        <f>emissions!C22*10^6</f>
        <v>72600555.56802693</v>
      </c>
      <c r="N22" s="9">
        <f>emissions!F22*10^6</f>
        <v>32230479.920799516</v>
      </c>
      <c r="O22" s="9">
        <f>(emissions!B22+emissions!D22+emissions!E22)*10^6</f>
        <v>19089255.619642314</v>
      </c>
    </row>
    <row r="23" spans="2:15" x14ac:dyDescent="0.3">
      <c r="B23" s="105" t="s">
        <v>27</v>
      </c>
      <c r="C23" s="58">
        <f>'Electricity Energy'!S23</f>
        <v>9341367739.3150692</v>
      </c>
      <c r="D23" s="35">
        <f>Transportation!G23</f>
        <v>27175478656.56144</v>
      </c>
      <c r="E23" s="35">
        <f>'Direct Use Apps. ENERGY'!H23</f>
        <v>12522207358.396635</v>
      </c>
      <c r="F23" s="35">
        <f>'Direct Use Apps Household'!G23</f>
        <v>4300178565.9246225</v>
      </c>
      <c r="G23" s="35">
        <f>'Commercial buildings Direct Use'!D23</f>
        <v>37052874595.40744</v>
      </c>
      <c r="H23" s="35">
        <f>'on road vehicles'!Q23</f>
        <v>18919076000</v>
      </c>
      <c r="I23" s="35">
        <f>OffRoad!G23</f>
        <v>1258964739.9963505</v>
      </c>
      <c r="J23" s="35">
        <f t="shared" si="0"/>
        <v>110570147655.60156</v>
      </c>
      <c r="K23" s="35"/>
      <c r="L23" s="105" t="s">
        <v>27</v>
      </c>
      <c r="M23" s="9">
        <f>emissions!C23*10^6</f>
        <v>36142148.248061948</v>
      </c>
      <c r="N23" s="9">
        <f>emissions!F23*10^6</f>
        <v>47250369.10767331</v>
      </c>
      <c r="O23" s="9">
        <f>(emissions!B23+emissions!D23+emissions!E23)*10^6</f>
        <v>125736629.78043798</v>
      </c>
    </row>
    <row r="24" spans="2:15" x14ac:dyDescent="0.3">
      <c r="B24" s="105" t="s">
        <v>28</v>
      </c>
      <c r="C24" s="58">
        <f>'Electricity Energy'!S24</f>
        <v>48117505435.61644</v>
      </c>
      <c r="D24" s="35">
        <f>Transportation!G24</f>
        <v>73569111010.721283</v>
      </c>
      <c r="E24" s="35">
        <f>'Direct Use Apps. ENERGY'!H24</f>
        <v>56890421550.048988</v>
      </c>
      <c r="F24" s="35">
        <f>'Direct Use Apps Household'!G24</f>
        <v>19414740559.298168</v>
      </c>
      <c r="G24" s="35">
        <f>'Commercial buildings Direct Use'!D24</f>
        <v>167288854687.68121</v>
      </c>
      <c r="H24" s="35">
        <f>'on road vehicles'!Q24</f>
        <v>66132432000</v>
      </c>
      <c r="I24" s="35">
        <f>OffRoad!G24</f>
        <v>8393098266.6423368</v>
      </c>
      <c r="J24" s="35">
        <f t="shared" si="0"/>
        <v>439806163510.00842</v>
      </c>
      <c r="K24" s="35"/>
      <c r="L24" s="105" t="s">
        <v>28</v>
      </c>
      <c r="M24" s="9">
        <f>emissions!C24*10^6</f>
        <v>1493372.56489233</v>
      </c>
      <c r="N24" s="9">
        <f>emissions!F24*10^6</f>
        <v>8921668.4861996528</v>
      </c>
      <c r="O24" s="9">
        <f>(emissions!B24+emissions!D24+emissions!E24)*10^6</f>
        <v>6046733.4614099711</v>
      </c>
    </row>
    <row r="25" spans="2:15" x14ac:dyDescent="0.3">
      <c r="B25" s="105" t="s">
        <v>29</v>
      </c>
      <c r="C25" s="58">
        <f>'Electricity Energy'!S25</f>
        <v>42881672197.03196</v>
      </c>
      <c r="D25" s="35">
        <f>Transportation!G25</f>
        <v>88944997925.769302</v>
      </c>
      <c r="E25" s="35">
        <f>'Direct Use Apps. ENERGY'!H25</f>
        <v>114535386364.00136</v>
      </c>
      <c r="F25" s="35">
        <f>'Direct Use Apps Household'!G25</f>
        <v>22176019489.34557</v>
      </c>
      <c r="G25" s="35">
        <f>'Commercial buildings Direct Use'!D25</f>
        <v>191081662439.60483</v>
      </c>
      <c r="H25" s="35">
        <f>'on road vehicles'!Q25</f>
        <v>81183874000</v>
      </c>
      <c r="I25" s="35">
        <f>OffRoad!G25</f>
        <v>11750337573.299271</v>
      </c>
      <c r="J25" s="35">
        <f t="shared" si="0"/>
        <v>552553949989.05237</v>
      </c>
      <c r="K25" s="35"/>
      <c r="L25" s="105" t="s">
        <v>29</v>
      </c>
      <c r="M25" s="9">
        <f>emissions!C25*10^6</f>
        <v>17151984.71856191</v>
      </c>
      <c r="N25" s="9">
        <f>emissions!F25*10^6</f>
        <v>27583602.02201001</v>
      </c>
      <c r="O25" s="9">
        <f>(emissions!B25+emissions!D25+emissions!E25)*10^6</f>
        <v>12822374.109888405</v>
      </c>
    </row>
    <row r="26" spans="2:15" x14ac:dyDescent="0.3">
      <c r="B26" s="105" t="s">
        <v>30</v>
      </c>
      <c r="C26" s="58">
        <f>'Electricity Energy'!S26</f>
        <v>73810517385.388123</v>
      </c>
      <c r="D26" s="35">
        <f>Transportation!G26</f>
        <v>174253686571.35431</v>
      </c>
      <c r="E26" s="35">
        <f>'Direct Use Apps. ENERGY'!H26</f>
        <v>222761506712.81055</v>
      </c>
      <c r="F26" s="35">
        <f>'Direct Use Apps Household'!G26</f>
        <v>29857068877.064331</v>
      </c>
      <c r="G26" s="35">
        <f>'Commercial buildings Direct Use'!D26</f>
        <v>276849938691.59711</v>
      </c>
      <c r="H26" s="35">
        <f>'on road vehicles'!Q26</f>
        <v>142438662000</v>
      </c>
      <c r="I26" s="35">
        <f>OffRoad!G26</f>
        <v>10911027746.63504</v>
      </c>
      <c r="J26" s="35">
        <f t="shared" si="0"/>
        <v>930882407984.84937</v>
      </c>
      <c r="K26" s="35"/>
      <c r="L26" s="105" t="s">
        <v>30</v>
      </c>
      <c r="M26" s="9">
        <f>emissions!C26*10^6</f>
        <v>10715066.61692322</v>
      </c>
      <c r="N26" s="9">
        <f>emissions!F26*10^6</f>
        <v>31695034.852741159</v>
      </c>
      <c r="O26" s="9">
        <f>(emissions!B26+emissions!D26+emissions!E26)*10^6</f>
        <v>21780520.929204471</v>
      </c>
    </row>
    <row r="27" spans="2:15" x14ac:dyDescent="0.3">
      <c r="B27" s="105" t="s">
        <v>31</v>
      </c>
      <c r="C27" s="58">
        <f>'Electricity Energy'!S27</f>
        <v>56511763904.566208</v>
      </c>
      <c r="D27" s="35">
        <f>Transportation!G27</f>
        <v>84814936222.694214</v>
      </c>
      <c r="E27" s="35">
        <f>'Direct Use Apps. ENERGY'!H27</f>
        <v>117566045951.16884</v>
      </c>
      <c r="F27" s="35">
        <f>'Direct Use Apps Household'!G27</f>
        <v>16760182322.932615</v>
      </c>
      <c r="G27" s="35">
        <f>'Commercial buildings Direct Use'!D27</f>
        <v>155408940766.06064</v>
      </c>
      <c r="H27" s="35">
        <f>'on road vehicles'!Q27</f>
        <v>90399178000</v>
      </c>
      <c r="I27" s="35">
        <f>OffRoad!G27</f>
        <v>7553788439.9781036</v>
      </c>
      <c r="J27" s="35">
        <f t="shared" si="0"/>
        <v>529014835607.40057</v>
      </c>
      <c r="K27" s="35"/>
      <c r="L27" s="105" t="s">
        <v>31</v>
      </c>
      <c r="M27" s="9">
        <f>emissions!C27*10^6</f>
        <v>55099293.285574436</v>
      </c>
      <c r="N27" s="9">
        <f>emissions!F27*10^6</f>
        <v>50158117.495725781</v>
      </c>
      <c r="O27" s="9">
        <f>(emissions!B27+emissions!D27+emissions!E27)*10^6</f>
        <v>46509284.436273985</v>
      </c>
    </row>
    <row r="28" spans="2:15" x14ac:dyDescent="0.3">
      <c r="B28" s="105" t="s">
        <v>32</v>
      </c>
      <c r="C28" s="58">
        <f>'Electricity Energy'!S28</f>
        <v>40258218569.109596</v>
      </c>
      <c r="D28" s="35">
        <f>Transportation!G28</f>
        <v>63417179288.136116</v>
      </c>
      <c r="E28" s="35">
        <f>'Direct Use Apps. ENERGY'!H28</f>
        <v>135825432317.84677</v>
      </c>
      <c r="F28" s="35">
        <f>'Direct Use Apps Household'!G28</f>
        <v>4611928789.6759586</v>
      </c>
      <c r="G28" s="35">
        <f>'Commercial buildings Direct Use'!D28</f>
        <v>82061741140.248322</v>
      </c>
      <c r="H28" s="35">
        <f>'on road vehicles'!Q28</f>
        <v>35604982000</v>
      </c>
      <c r="I28" s="35">
        <f>OffRoad!G28</f>
        <v>2517929479.9927011</v>
      </c>
      <c r="J28" s="35">
        <f t="shared" si="0"/>
        <v>364297411585.0094</v>
      </c>
      <c r="K28" s="35"/>
      <c r="L28" s="105" t="s">
        <v>32</v>
      </c>
      <c r="M28" s="9">
        <f>emissions!C28*10^6</f>
        <v>26459585.880448662</v>
      </c>
      <c r="N28" s="9">
        <f>emissions!F28*10^6</f>
        <v>31361571.39505174</v>
      </c>
      <c r="O28" s="9">
        <f>(emissions!B28+emissions!D28+emissions!E28)*10^6</f>
        <v>31433809.222203132</v>
      </c>
    </row>
    <row r="29" spans="2:15" x14ac:dyDescent="0.3">
      <c r="B29" s="105" t="s">
        <v>33</v>
      </c>
      <c r="C29" s="58">
        <f>'Electricity Energy'!S29</f>
        <v>62038186009.589035</v>
      </c>
      <c r="D29" s="35">
        <f>Transportation!G29</f>
        <v>108289999621.51367</v>
      </c>
      <c r="E29" s="35">
        <f>'Direct Use Apps. ENERGY'!H29</f>
        <v>66253281598.119987</v>
      </c>
      <c r="F29" s="35">
        <f>'Direct Use Apps Household'!G29</f>
        <v>9460732139.7634926</v>
      </c>
      <c r="G29" s="35">
        <f>'Commercial buildings Direct Use'!D29</f>
        <v>168338278246.71329</v>
      </c>
      <c r="H29" s="35">
        <f>'on road vehicles'!Q29</f>
        <v>97303768000</v>
      </c>
      <c r="I29" s="35">
        <f>OffRoad!G29</f>
        <v>6294823699.9817543</v>
      </c>
      <c r="J29" s="35">
        <f t="shared" si="0"/>
        <v>517979069315.68121</v>
      </c>
      <c r="K29" s="35"/>
      <c r="L29" s="105" t="s">
        <v>33</v>
      </c>
      <c r="M29" s="9">
        <f>emissions!C29*10^6</f>
        <v>25908346.286661129</v>
      </c>
      <c r="N29" s="9">
        <f>emissions!F29*10^6</f>
        <v>29815521.039665073</v>
      </c>
      <c r="O29" s="9">
        <f>(emissions!B29+emissions!D29+emissions!E29)*10^6</f>
        <v>13193457.14666214</v>
      </c>
    </row>
    <row r="30" spans="2:15" x14ac:dyDescent="0.3">
      <c r="B30" s="105" t="s">
        <v>34</v>
      </c>
      <c r="C30" s="58">
        <f>'Electricity Energy'!S30</f>
        <v>11329356531.96347</v>
      </c>
      <c r="D30" s="35">
        <f>Transportation!G30</f>
        <v>27899739807.265816</v>
      </c>
      <c r="E30" s="35">
        <f>'Direct Use Apps. ENERGY'!H30</f>
        <v>20489124144.170181</v>
      </c>
      <c r="F30" s="35">
        <f>'Direct Use Apps Household'!G30</f>
        <v>2769251013.0831122</v>
      </c>
      <c r="G30" s="35">
        <f>'Commercial buildings Direct Use'!D30</f>
        <v>25007057047.69886</v>
      </c>
      <c r="H30" s="35">
        <f>'on road vehicles'!Q30</f>
        <v>29664934000</v>
      </c>
      <c r="I30" s="35">
        <f>OffRoad!G30</f>
        <v>839309826.66423392</v>
      </c>
      <c r="J30" s="35">
        <f t="shared" si="0"/>
        <v>117998772370.84567</v>
      </c>
      <c r="K30" s="35"/>
      <c r="L30" s="105" t="s">
        <v>34</v>
      </c>
      <c r="M30" s="9">
        <f>emissions!C30*10^6</f>
        <v>61722575.57423126</v>
      </c>
      <c r="N30" s="9">
        <f>emissions!F30*10^6</f>
        <v>37982835.14079538</v>
      </c>
      <c r="O30" s="9">
        <f>(emissions!B30+emissions!D30+emissions!E30)*10^6</f>
        <v>17973056.735864665</v>
      </c>
    </row>
    <row r="31" spans="2:15" x14ac:dyDescent="0.3">
      <c r="B31" s="105" t="s">
        <v>35</v>
      </c>
      <c r="C31" s="58">
        <f>'Electricity Energy'!S31</f>
        <v>22466068945.433788</v>
      </c>
      <c r="D31" s="35">
        <f>Transportation!G31</f>
        <v>30848614774.917175</v>
      </c>
      <c r="E31" s="35">
        <f>'Direct Use Apps. ENERGY'!H31</f>
        <v>42201163899.104424</v>
      </c>
      <c r="F31" s="35">
        <f>'Direct Use Apps Household'!G31</f>
        <v>5762582770.8935251</v>
      </c>
      <c r="G31" s="35">
        <f>'Commercial buildings Direct Use'!D31</f>
        <v>53433600377.720314</v>
      </c>
      <c r="H31" s="35">
        <f>'on road vehicles'!Q31</f>
        <v>34527648000</v>
      </c>
      <c r="I31" s="35">
        <f>OffRoad!G31</f>
        <v>2517929479.9927011</v>
      </c>
      <c r="J31" s="35">
        <f t="shared" si="0"/>
        <v>191757608248.06192</v>
      </c>
      <c r="K31" s="35"/>
      <c r="L31" s="105" t="s">
        <v>35</v>
      </c>
      <c r="M31" s="9">
        <f>emissions!C31*10^6</f>
        <v>15949141.817368349</v>
      </c>
      <c r="N31" s="9">
        <f>emissions!F31*10^6</f>
        <v>7851781.550465364</v>
      </c>
      <c r="O31" s="9">
        <f>(emissions!B31+emissions!D31+emissions!E31)*10^6</f>
        <v>6658242.4753903113</v>
      </c>
    </row>
    <row r="32" spans="2:15" x14ac:dyDescent="0.3">
      <c r="B32" s="105" t="s">
        <v>36</v>
      </c>
      <c r="C32" s="58">
        <f>'Electricity Energy'!S32</f>
        <v>28743680079.908672</v>
      </c>
      <c r="D32" s="35">
        <f>Transportation!G32</f>
        <v>44508643822.571411</v>
      </c>
      <c r="E32" s="35">
        <f>'Direct Use Apps. ENERGY'!H32</f>
        <v>75174271325.485687</v>
      </c>
      <c r="F32" s="35">
        <f>'Direct Use Apps Household'!G32</f>
        <v>7910151152.5327387</v>
      </c>
      <c r="G32" s="35">
        <f>'Commercial buildings Direct Use'!D32</f>
        <v>71430722672.943314</v>
      </c>
      <c r="H32" s="35">
        <f>'on road vehicles'!Q32</f>
        <v>39194684000</v>
      </c>
      <c r="I32" s="35">
        <f>OffRoad!G32</f>
        <v>3357239306.6569357</v>
      </c>
      <c r="J32" s="35">
        <f t="shared" si="0"/>
        <v>270319392360.09875</v>
      </c>
      <c r="K32" s="35"/>
      <c r="L32" s="105" t="s">
        <v>36</v>
      </c>
      <c r="M32" s="9">
        <f>emissions!C32*10^6</f>
        <v>21152965.789562222</v>
      </c>
      <c r="N32" s="9">
        <f>emissions!F32*10^6</f>
        <v>13826746.708161741</v>
      </c>
      <c r="O32" s="9">
        <f>(emissions!B32+emissions!D32+emissions!E32)*10^6</f>
        <v>13574417.265434721</v>
      </c>
    </row>
    <row r="33" spans="2:15" ht="27" x14ac:dyDescent="0.3">
      <c r="B33" s="105" t="s">
        <v>37</v>
      </c>
      <c r="C33" s="58">
        <f>'Electricity Energy'!S33</f>
        <v>9062019552.6255722</v>
      </c>
      <c r="D33" s="35">
        <f>Transportation!G33</f>
        <v>20835806663.201786</v>
      </c>
      <c r="E33" s="35">
        <f>'Direct Use Apps. ENERGY'!H33</f>
        <v>13297646450.614805</v>
      </c>
      <c r="F33" s="35">
        <f>'Direct Use Apps Household'!G33</f>
        <v>4358184537.0881901</v>
      </c>
      <c r="G33" s="35">
        <f>'Commercial buildings Direct Use'!D33</f>
        <v>37552688252.528526</v>
      </c>
      <c r="H33" s="35">
        <f>'on road vehicles'!Q33</f>
        <v>21574100000</v>
      </c>
      <c r="I33" s="35">
        <f>OffRoad!G33</f>
        <v>1678619653.3284678</v>
      </c>
      <c r="J33" s="35">
        <f t="shared" si="0"/>
        <v>108359065109.38733</v>
      </c>
      <c r="K33" s="35"/>
      <c r="L33" s="105" t="s">
        <v>37</v>
      </c>
      <c r="M33" s="9">
        <f>emissions!C33*10^6</f>
        <v>13899076.98053287</v>
      </c>
      <c r="N33" s="9">
        <f>emissions!F33*10^6</f>
        <v>14999700.16847121</v>
      </c>
      <c r="O33" s="9">
        <f>(emissions!B33+emissions!D33+emissions!E33)*10^6</f>
        <v>7752327.6469970029</v>
      </c>
    </row>
    <row r="34" spans="2:15" x14ac:dyDescent="0.3">
      <c r="B34" s="105" t="s">
        <v>38</v>
      </c>
      <c r="C34" s="58">
        <f>'Electricity Energy'!S34</f>
        <v>55666718651.369865</v>
      </c>
      <c r="D34" s="35">
        <f>Transportation!G34</f>
        <v>138738975004.42258</v>
      </c>
      <c r="E34" s="35">
        <f>'Direct Use Apps. ENERGY'!H34</f>
        <v>180719609797.81274</v>
      </c>
      <c r="F34" s="35">
        <f>'Direct Use Apps Household'!G34</f>
        <v>28622319387.950737</v>
      </c>
      <c r="G34" s="35">
        <f>'Commercial buildings Direct Use'!D34</f>
        <v>246626784132.95169</v>
      </c>
      <c r="H34" s="35">
        <f>'on road vehicles'!Q34</f>
        <v>93894002000</v>
      </c>
      <c r="I34" s="35">
        <f>OffRoad!G34</f>
        <v>12589647399.963509</v>
      </c>
      <c r="J34" s="35">
        <f t="shared" si="0"/>
        <v>756858056374.47119</v>
      </c>
      <c r="K34" s="35"/>
      <c r="L34" s="105" t="s">
        <v>38</v>
      </c>
      <c r="M34" s="9">
        <f>emissions!C34*10^6</f>
        <v>2367880.1868397202</v>
      </c>
      <c r="N34" s="9">
        <f>emissions!F34*10^6</f>
        <v>6726450.1685746424</v>
      </c>
      <c r="O34" s="9">
        <f>(emissions!B34+emissions!D34+emissions!E34)*10^6</f>
        <v>4658581.0918197278</v>
      </c>
    </row>
    <row r="35" spans="2:15" x14ac:dyDescent="0.3">
      <c r="B35" s="105" t="s">
        <v>39</v>
      </c>
      <c r="C35" s="58">
        <f>'Electricity Energy'!S35</f>
        <v>19043401712.328766</v>
      </c>
      <c r="D35" s="35">
        <f>Transportation!G35</f>
        <v>38961430828.381714</v>
      </c>
      <c r="E35" s="35">
        <f>'Direct Use Apps. ENERGY'!H35</f>
        <v>61155973625.185349</v>
      </c>
      <c r="F35" s="35">
        <f>'Direct Use Apps Household'!G35</f>
        <v>5462429445.2560415</v>
      </c>
      <c r="G35" s="35">
        <f>'Commercial buildings Direct Use'!D35</f>
        <v>49327158900.076279</v>
      </c>
      <c r="H35" s="35">
        <f>'on road vehicles'!Q35</f>
        <v>31884882000</v>
      </c>
      <c r="I35" s="35">
        <f>OffRoad!G35</f>
        <v>2098274566.6605842</v>
      </c>
      <c r="J35" s="35">
        <f t="shared" si="0"/>
        <v>207933551077.88873</v>
      </c>
      <c r="K35" s="35"/>
      <c r="L35" s="105" t="s">
        <v>39</v>
      </c>
      <c r="M35" s="9">
        <f>emissions!C35*10^6</f>
        <v>19660066.486893557</v>
      </c>
      <c r="N35" s="9">
        <f>emissions!F35*10^6</f>
        <v>58028972.007888429</v>
      </c>
      <c r="O35" s="9">
        <f>(emissions!B35+emissions!D35+emissions!E35)*10^6</f>
        <v>33145260.533488985</v>
      </c>
    </row>
    <row r="36" spans="2:15" x14ac:dyDescent="0.3">
      <c r="B36" s="105" t="s">
        <v>40</v>
      </c>
      <c r="C36" s="58">
        <f>'Electricity Energy'!S36</f>
        <v>118651588047.48859</v>
      </c>
      <c r="D36" s="35">
        <f>Transportation!G36</f>
        <v>208010257604.84348</v>
      </c>
      <c r="E36" s="35">
        <f>'Direct Use Apps. ENERGY'!H36</f>
        <v>319895764634.08759</v>
      </c>
      <c r="F36" s="35">
        <f>'Direct Use Apps Household'!G36</f>
        <v>62787460492.212547</v>
      </c>
      <c r="G36" s="35">
        <f>'Commercial buildings Direct Use'!D36</f>
        <v>541013789105.71289</v>
      </c>
      <c r="H36" s="35">
        <f>'on road vehicles'!Q36</f>
        <v>180688030000</v>
      </c>
      <c r="I36" s="35">
        <f>OffRoad!G36</f>
        <v>34411702893.233574</v>
      </c>
      <c r="J36" s="35">
        <f t="shared" si="0"/>
        <v>1465458592777.5789</v>
      </c>
      <c r="K36" s="35"/>
      <c r="L36" s="105" t="s">
        <v>40</v>
      </c>
      <c r="M36" s="9">
        <f>emissions!C36*10^6</f>
        <v>23013475.852206979</v>
      </c>
      <c r="N36" s="9">
        <f>emissions!F36*10^6</f>
        <v>14154430.57877651</v>
      </c>
      <c r="O36" s="9">
        <f>(emissions!B36+emissions!D36+emissions!E36)*10^6</f>
        <v>11219115.413321288</v>
      </c>
    </row>
    <row r="37" spans="2:15" x14ac:dyDescent="0.3">
      <c r="B37" s="105" t="s">
        <v>41</v>
      </c>
      <c r="C37" s="58">
        <f>'Electricity Energy'!S37</f>
        <v>92068841847.260269</v>
      </c>
      <c r="D37" s="35">
        <f>Transportation!G37</f>
        <v>166177697356.0611</v>
      </c>
      <c r="E37" s="35">
        <f>'Direct Use Apps. ENERGY'!H37</f>
        <v>129819155813.21899</v>
      </c>
      <c r="F37" s="35">
        <f>'Direct Use Apps Household'!G37</f>
        <v>16034835082.538961</v>
      </c>
      <c r="G37" s="35">
        <f>'Commercial buildings Direct Use'!D37</f>
        <v>285313704044.05957</v>
      </c>
      <c r="H37" s="35">
        <f>'on road vehicles'!Q37</f>
        <v>137710228000</v>
      </c>
      <c r="I37" s="35">
        <f>OffRoad!G37</f>
        <v>11750337573.299271</v>
      </c>
      <c r="J37" s="35">
        <f t="shared" si="0"/>
        <v>838874799716.43823</v>
      </c>
      <c r="K37" s="35"/>
      <c r="L37" s="105" t="s">
        <v>41</v>
      </c>
      <c r="M37" s="9">
        <f>emissions!C37*10^6</f>
        <v>27740142.24843692</v>
      </c>
      <c r="N37" s="9">
        <f>emissions!F37*10^6</f>
        <v>75380608.139186993</v>
      </c>
      <c r="O37" s="9">
        <f>(emissions!B37+emissions!D37+emissions!E37)*10^6</f>
        <v>60534696.775078423</v>
      </c>
    </row>
    <row r="38" spans="2:15" x14ac:dyDescent="0.3">
      <c r="B38" s="105" t="s">
        <v>42</v>
      </c>
      <c r="C38" s="58">
        <f>'Electricity Energy'!S38</f>
        <v>17016331062.100454</v>
      </c>
      <c r="D38" s="35">
        <f>Transportation!G38</f>
        <v>14819392471.56896</v>
      </c>
      <c r="E38" s="35">
        <f>'Direct Use Apps. ENERGY'!H38</f>
        <v>28599253802.052383</v>
      </c>
      <c r="F38" s="35">
        <f>'Direct Use Apps Household'!G38</f>
        <v>2270294549.4106765</v>
      </c>
      <c r="G38" s="35">
        <f>'Commercial buildings Direct Use'!D38</f>
        <v>21051326551.985786</v>
      </c>
      <c r="H38" s="35">
        <f>'on road vehicles'!Q38</f>
        <v>16750168000</v>
      </c>
      <c r="I38" s="35">
        <f>OffRoad!G38</f>
        <v>1258964739.9963505</v>
      </c>
      <c r="J38" s="35">
        <f t="shared" si="0"/>
        <v>101765731177.11461</v>
      </c>
      <c r="K38" s="35"/>
      <c r="L38" s="105" t="s">
        <v>42</v>
      </c>
      <c r="M38" s="9">
        <f>emissions!C38*10^6</f>
        <v>50754810.550941497</v>
      </c>
      <c r="N38" s="9">
        <f>emissions!F38*10^6</f>
        <v>49047413.413180552</v>
      </c>
      <c r="O38" s="9">
        <f>(emissions!B38+emissions!D38+emissions!E38)*10^6</f>
        <v>20750918.664207902</v>
      </c>
    </row>
    <row r="39" spans="2:15" x14ac:dyDescent="0.3">
      <c r="B39" s="105" t="s">
        <v>43</v>
      </c>
      <c r="C39" s="58">
        <f>'Electricity Energy'!S39</f>
        <v>98139555138.812805</v>
      </c>
      <c r="D39" s="35">
        <f>Transportation!G39</f>
        <v>181619054205.63614</v>
      </c>
      <c r="E39" s="35">
        <f>'Direct Use Apps. ENERGY'!H39</f>
        <v>241298654699.77042</v>
      </c>
      <c r="F39" s="35">
        <f>'Direct Use Apps Household'!G39</f>
        <v>34915510478.875488</v>
      </c>
      <c r="G39" s="35">
        <f>'Commercial buildings Direct Use'!D39</f>
        <v>323754383769.66791</v>
      </c>
      <c r="H39" s="35">
        <f>'on road vehicles'!Q39</f>
        <v>172710460000</v>
      </c>
      <c r="I39" s="35">
        <f>OffRoad!G39</f>
        <v>13848612139.959858</v>
      </c>
      <c r="J39" s="35">
        <f t="shared" si="0"/>
        <v>1066286230432.7225</v>
      </c>
      <c r="K39" s="35"/>
      <c r="L39" s="105" t="s">
        <v>43</v>
      </c>
      <c r="M39" s="9">
        <f>emissions!C39*10^6</f>
        <v>28894358.46344585</v>
      </c>
      <c r="N39" s="9">
        <f>emissions!F39*10^6</f>
        <v>8331705.5045181885</v>
      </c>
      <c r="O39" s="9">
        <f>(emissions!B39+emissions!D39+emissions!E39)*10^6</f>
        <v>17057042.960923992</v>
      </c>
    </row>
    <row r="40" spans="2:15" x14ac:dyDescent="0.3">
      <c r="B40" s="105" t="s">
        <v>44</v>
      </c>
      <c r="C40" s="58">
        <f>'Electricity Energy'!S40</f>
        <v>47045981873.972595</v>
      </c>
      <c r="D40" s="35">
        <f>Transportation!G40</f>
        <v>77302261235.726715</v>
      </c>
      <c r="E40" s="35">
        <f>'Direct Use Apps. ENERGY'!H40</f>
        <v>170932207676.9072</v>
      </c>
      <c r="F40" s="35">
        <f>'Direct Use Apps Household'!G40</f>
        <v>11777689315.155832</v>
      </c>
      <c r="G40" s="35">
        <f>'Commercial buildings Direct Use'!D40</f>
        <v>109208729706.69756</v>
      </c>
      <c r="H40" s="35">
        <f>'on road vehicles'!Q40</f>
        <v>64664922000</v>
      </c>
      <c r="I40" s="35">
        <f>OffRoad!G40</f>
        <v>4196549133.3211684</v>
      </c>
      <c r="J40" s="35">
        <f t="shared" si="0"/>
        <v>485128340941.78107</v>
      </c>
      <c r="K40" s="35"/>
      <c r="L40" s="105" t="s">
        <v>44</v>
      </c>
      <c r="M40" s="9">
        <f>emissions!C40*10^6</f>
        <v>80595427.957848579</v>
      </c>
      <c r="N40" s="9">
        <f>emissions!F40*10^6</f>
        <v>62999858.289387301</v>
      </c>
      <c r="O40" s="9">
        <f>(emissions!B40+emissions!D40+emissions!E40)*10^6</f>
        <v>62679077.595698074</v>
      </c>
    </row>
    <row r="41" spans="2:15" x14ac:dyDescent="0.3">
      <c r="B41" s="105" t="s">
        <v>45</v>
      </c>
      <c r="C41" s="58">
        <f>'Electricity Energy'!S41</f>
        <v>42000673529.77169</v>
      </c>
      <c r="D41" s="35">
        <f>Transportation!G41</f>
        <v>58305068567.156769</v>
      </c>
      <c r="E41" s="35">
        <f>'Direct Use Apps. ENERGY'!H41</f>
        <v>59050336681.708939</v>
      </c>
      <c r="F41" s="35">
        <f>'Direct Use Apps Household'!G41</f>
        <v>10924486113.489595</v>
      </c>
      <c r="G41" s="35">
        <f>'Commercial buildings Direct Use'!D41</f>
        <v>98650951526.664413</v>
      </c>
      <c r="H41" s="35">
        <f>'on road vehicles'!Q41</f>
        <v>64883044000</v>
      </c>
      <c r="I41" s="35">
        <f>OffRoad!G41</f>
        <v>5035858959.9854021</v>
      </c>
      <c r="J41" s="35">
        <f t="shared" si="0"/>
        <v>338850419378.77679</v>
      </c>
      <c r="K41" s="35"/>
      <c r="L41" s="105" t="s">
        <v>45</v>
      </c>
      <c r="M41" s="9">
        <f>emissions!C41*10^6</f>
        <v>35337127.157597542</v>
      </c>
      <c r="N41" s="9">
        <f>emissions!F41*10^6</f>
        <v>32556113.079227913</v>
      </c>
      <c r="O41" s="9">
        <f>(emissions!B41+emissions!D41+emissions!E41)*10^6</f>
        <v>29017803.207005024</v>
      </c>
    </row>
    <row r="42" spans="2:15" x14ac:dyDescent="0.3">
      <c r="B42" s="105" t="s">
        <v>46</v>
      </c>
      <c r="C42" s="58">
        <f>'Electricity Energy'!S42</f>
        <v>116516379581.73515</v>
      </c>
      <c r="D42" s="35">
        <f>Transportation!G42</f>
        <v>130549777360.67661</v>
      </c>
      <c r="E42" s="35">
        <f>'Direct Use Apps. ENERGY'!H42</f>
        <v>322094413496.28229</v>
      </c>
      <c r="F42" s="35">
        <f>'Direct Use Apps Household'!G42</f>
        <v>41147997842.587585</v>
      </c>
      <c r="G42" s="35">
        <f>'Commercial buildings Direct Use'!D42</f>
        <v>354555416836.66431</v>
      </c>
      <c r="H42" s="35">
        <f>'on road vehicles'!Q42</f>
        <v>175524162000</v>
      </c>
      <c r="I42" s="35">
        <f>OffRoad!G42</f>
        <v>15946886706.620443</v>
      </c>
      <c r="J42" s="35">
        <f t="shared" si="0"/>
        <v>1156335033824.5664</v>
      </c>
      <c r="K42" s="35"/>
      <c r="L42" s="105" t="s">
        <v>46</v>
      </c>
      <c r="M42" s="9">
        <f>emissions!C42*10^6</f>
        <v>7767056.8337263875</v>
      </c>
      <c r="N42" s="9">
        <f>emissions!F42*10^6</f>
        <v>20444253.84646425</v>
      </c>
      <c r="O42" s="9">
        <f>(emissions!B42+emissions!D42+emissions!E42)*10^6</f>
        <v>9757271.2087152973</v>
      </c>
    </row>
    <row r="43" spans="2:15" x14ac:dyDescent="0.3">
      <c r="B43" s="105" t="s">
        <v>47</v>
      </c>
      <c r="C43" s="58">
        <f>'Electricity Energy'!S43</f>
        <v>6198045200.570776</v>
      </c>
      <c r="D43" s="35">
        <f>Transportation!G43</f>
        <v>25493719713.400414</v>
      </c>
      <c r="E43" s="35">
        <f>'Direct Use Apps. ENERGY'!H43</f>
        <v>20994956085.692722</v>
      </c>
      <c r="F43" s="35">
        <f>'Direct Use Apps Household'!G43</f>
        <v>3397063443.0490289</v>
      </c>
      <c r="G43" s="35">
        <f>'Commercial buildings Direct Use'!D43</f>
        <v>29271102075.937622</v>
      </c>
      <c r="H43" s="35">
        <f>'on road vehicles'!Q43</f>
        <v>13382786000</v>
      </c>
      <c r="I43" s="35">
        <f>OffRoad!G43</f>
        <v>1258964739.9963505</v>
      </c>
      <c r="J43" s="35">
        <f t="shared" si="0"/>
        <v>99996637258.646912</v>
      </c>
      <c r="K43" s="35"/>
      <c r="L43" s="105" t="s">
        <v>47</v>
      </c>
      <c r="M43" s="9">
        <f>emissions!C43*10^6</f>
        <v>82057473.309071019</v>
      </c>
      <c r="N43" s="9">
        <f>emissions!F43*10^6</f>
        <v>60657094.108815946</v>
      </c>
      <c r="O43" s="9">
        <f>(emissions!B43+emissions!D43+emissions!E43)*10^6</f>
        <v>74694143.915122956</v>
      </c>
    </row>
    <row r="44" spans="2:15" x14ac:dyDescent="0.3">
      <c r="B44" s="105" t="s">
        <v>48</v>
      </c>
      <c r="C44" s="58">
        <f>'Electricity Energy'!S44</f>
        <v>53216829211.415527</v>
      </c>
      <c r="D44" s="35">
        <f>Transportation!G44</f>
        <v>98754576449.057297</v>
      </c>
      <c r="E44" s="35">
        <f>'Direct Use Apps. ENERGY'!H44</f>
        <v>70463026522.025421</v>
      </c>
      <c r="F44" s="35">
        <f>'Direct Use Apps Household'!G44</f>
        <v>7851128795.5148172</v>
      </c>
      <c r="G44" s="35">
        <f>'Commercial buildings Direct Use'!D44</f>
        <v>139698015354.99301</v>
      </c>
      <c r="H44" s="35">
        <f>'on road vehicles'!Q44</f>
        <v>71883834000</v>
      </c>
      <c r="I44" s="35">
        <f>OffRoad!G44</f>
        <v>4616204046.653286</v>
      </c>
      <c r="J44" s="35">
        <f t="shared" si="0"/>
        <v>446483614379.65936</v>
      </c>
      <c r="K44" s="35"/>
      <c r="L44" s="105" t="s">
        <v>48</v>
      </c>
      <c r="M44" s="9">
        <f>emissions!C44*10^6</f>
        <v>2574954.8366666669</v>
      </c>
      <c r="N44" s="9">
        <f>emissions!F44*10^6</f>
        <v>3870908.954751451</v>
      </c>
      <c r="O44" s="9">
        <f>(emissions!B44+emissions!D44+emissions!E44)*10^6</f>
        <v>3303613.0220123273</v>
      </c>
    </row>
    <row r="45" spans="2:15" x14ac:dyDescent="0.3">
      <c r="B45" s="105" t="s">
        <v>49</v>
      </c>
      <c r="C45" s="58">
        <f>'Electricity Energy'!S45</f>
        <v>10446988992.968035</v>
      </c>
      <c r="D45" s="35">
        <f>Transportation!G45</f>
        <v>16923978075.216532</v>
      </c>
      <c r="E45" s="35">
        <f>'Direct Use Apps. ENERGY'!H45</f>
        <v>20764337492.706379</v>
      </c>
      <c r="F45" s="35">
        <f>'Direct Use Apps Household'!G45</f>
        <v>2635171583.667613</v>
      </c>
      <c r="G45" s="35">
        <f>'Commercial buildings Direct Use'!D45</f>
        <v>24434652121.54977</v>
      </c>
      <c r="H45" s="35">
        <f>'on road vehicles'!Q45</f>
        <v>21573788000</v>
      </c>
      <c r="I45" s="35">
        <f>OffRoad!G45</f>
        <v>1258964739.9963505</v>
      </c>
      <c r="J45" s="35">
        <f t="shared" si="0"/>
        <v>98037881006.104675</v>
      </c>
      <c r="K45" s="35"/>
      <c r="L45" s="105" t="s">
        <v>49</v>
      </c>
      <c r="M45" s="9">
        <f>emissions!C45*10^6</f>
        <v>27518031.06261757</v>
      </c>
      <c r="N45" s="9">
        <f>emissions!F45*10^6</f>
        <v>32608654.827621393</v>
      </c>
      <c r="O45" s="9">
        <f>(emissions!B45+emissions!D45+emissions!E45)*10^6</f>
        <v>11580875.720091317</v>
      </c>
    </row>
    <row r="46" spans="2:15" x14ac:dyDescent="0.3">
      <c r="B46" s="105" t="s">
        <v>50</v>
      </c>
      <c r="C46" s="58">
        <f>'Electricity Energy'!S46</f>
        <v>74497473278.538818</v>
      </c>
      <c r="D46" s="35">
        <f>Transportation!G46</f>
        <v>131400886509.52695</v>
      </c>
      <c r="E46" s="35">
        <f>'Direct Use Apps. ENERGY'!H46</f>
        <v>82446784060.554474</v>
      </c>
      <c r="F46" s="35">
        <f>'Direct Use Apps Household'!G46</f>
        <v>10454542236.439661</v>
      </c>
      <c r="G46" s="35">
        <f>'Commercial buildings Direct Use'!D46</f>
        <v>186021505940.63763</v>
      </c>
      <c r="H46" s="35">
        <f>'on road vehicles'!Q46</f>
        <v>96002450000</v>
      </c>
      <c r="I46" s="35">
        <f>OffRoad!G46</f>
        <v>7553788439.9781036</v>
      </c>
      <c r="J46" s="35">
        <f t="shared" si="0"/>
        <v>588377430465.67566</v>
      </c>
      <c r="K46" s="35"/>
      <c r="L46" s="105" t="s">
        <v>50</v>
      </c>
      <c r="M46" s="9">
        <f>emissions!C46*10^6</f>
        <v>2611562.8071890804</v>
      </c>
      <c r="N46" s="9">
        <f>emissions!F46*10^6</f>
        <v>6818204.2005861672</v>
      </c>
      <c r="O46" s="9">
        <f>(emissions!B46+emissions!D46+emissions!E46)*10^6</f>
        <v>5565254.2268272443</v>
      </c>
    </row>
    <row r="47" spans="2:15" x14ac:dyDescent="0.3">
      <c r="B47" s="105" t="s">
        <v>51</v>
      </c>
      <c r="C47" s="58">
        <f>'Electricity Energy'!S47</f>
        <v>321876885917.80823</v>
      </c>
      <c r="D47" s="35">
        <f>Transportation!G47</f>
        <v>593396299283.79517</v>
      </c>
      <c r="E47" s="35">
        <f>'Direct Use Apps. ENERGY'!H47</f>
        <v>990403906697.82178</v>
      </c>
      <c r="F47" s="35">
        <f>'Direct Use Apps Household'!G47</f>
        <v>44322630367.790367</v>
      </c>
      <c r="G47" s="35">
        <f>'Commercial buildings Direct Use'!D47</f>
        <v>788648824769.05664</v>
      </c>
      <c r="H47" s="35">
        <f>'on road vehicles'!Q47</f>
        <v>382077278000</v>
      </c>
      <c r="I47" s="35">
        <f>OffRoad!G47</f>
        <v>36509977459.894173</v>
      </c>
      <c r="J47" s="35">
        <f t="shared" si="0"/>
        <v>3157235802496.1665</v>
      </c>
      <c r="K47" s="35"/>
      <c r="L47" s="105" t="s">
        <v>51</v>
      </c>
      <c r="M47" s="9">
        <f>emissions!C47*10^6</f>
        <v>35876167.308963671</v>
      </c>
      <c r="N47" s="9">
        <f>emissions!F47*10^6</f>
        <v>43651770.279753402</v>
      </c>
      <c r="O47" s="9">
        <f>(emissions!B47+emissions!D47+emissions!E47)*10^6</f>
        <v>23544685.726538826</v>
      </c>
    </row>
    <row r="48" spans="2:15" x14ac:dyDescent="0.3">
      <c r="B48" s="105" t="s">
        <v>53</v>
      </c>
      <c r="C48" s="58">
        <f>'Electricity Energy'!S48</f>
        <v>18874160265.525116</v>
      </c>
      <c r="D48" s="35">
        <f>Transportation!G48</f>
        <v>50137694234.919769</v>
      </c>
      <c r="E48" s="35">
        <f>'Direct Use Apps. ENERGY'!H48</f>
        <v>56594057546.02343</v>
      </c>
      <c r="F48" s="35">
        <f>'Direct Use Apps Household'!G48</f>
        <v>8240470696.9392881</v>
      </c>
      <c r="G48" s="35">
        <f>'Commercial buildings Direct Use'!D48</f>
        <v>74413594089.047974</v>
      </c>
      <c r="H48" s="35">
        <f>'on road vehicles'!Q48</f>
        <v>38795286000</v>
      </c>
      <c r="I48" s="35">
        <f>OffRoad!G48</f>
        <v>3776894219.9890518</v>
      </c>
      <c r="J48" s="35">
        <f t="shared" si="0"/>
        <v>250832157052.44461</v>
      </c>
      <c r="K48" s="35"/>
      <c r="L48" s="105" t="s">
        <v>53</v>
      </c>
      <c r="M48" s="9">
        <f>emissions!C48*10^6</f>
        <v>207540788.62293461</v>
      </c>
      <c r="N48" s="9">
        <f>emissions!F48*10^6</f>
        <v>224824018.50621289</v>
      </c>
      <c r="O48" s="9">
        <f>(emissions!B48+emissions!D48+emissions!E48)*10^6</f>
        <v>221456883.9905706</v>
      </c>
    </row>
    <row r="49" spans="2:15" x14ac:dyDescent="0.3">
      <c r="B49" s="105" t="s">
        <v>54</v>
      </c>
      <c r="C49" s="58">
        <f>'Electricity Energy'!S49</f>
        <v>4497789834.5205479</v>
      </c>
      <c r="D49" s="35">
        <f>Transportation!G49</f>
        <v>11518616605.835236</v>
      </c>
      <c r="E49" s="35">
        <f>'Direct Use Apps. ENERGY'!H49</f>
        <v>3040088192.6266146</v>
      </c>
      <c r="F49" s="35">
        <f>'Direct Use Apps Household'!G49</f>
        <v>2012245581.7974432</v>
      </c>
      <c r="G49" s="35">
        <f>'Commercial buildings Direct Use'!D49</f>
        <v>17338694673.827248</v>
      </c>
      <c r="H49" s="35">
        <f>'on road vehicles'!Q49</f>
        <v>10436944000</v>
      </c>
      <c r="I49" s="35">
        <f>OffRoad!G49</f>
        <v>839309826.66423392</v>
      </c>
      <c r="J49" s="35">
        <f t="shared" si="0"/>
        <v>49683688715.271317</v>
      </c>
      <c r="K49" s="35"/>
      <c r="L49" s="105" t="s">
        <v>54</v>
      </c>
      <c r="M49" s="9">
        <f>emissions!C49*10^6</f>
        <v>27457799.239211082</v>
      </c>
      <c r="N49" s="9">
        <f>emissions!F49*10^6</f>
        <v>17676454.295376051</v>
      </c>
      <c r="O49" s="9">
        <f>(emissions!B49+emissions!D49+emissions!E49)*10^6</f>
        <v>13627262.340847025</v>
      </c>
    </row>
    <row r="50" spans="2:15" x14ac:dyDescent="0.3">
      <c r="B50" s="105" t="s">
        <v>55</v>
      </c>
      <c r="C50" s="58">
        <f>'Electricity Energy'!S50</f>
        <v>90233321036.529678</v>
      </c>
      <c r="D50" s="35">
        <f>Transportation!G50</f>
        <v>125047574946.47421</v>
      </c>
      <c r="E50" s="35">
        <f>'Direct Use Apps. ENERGY'!H50</f>
        <v>148409817506.83859</v>
      </c>
      <c r="F50" s="35">
        <f>'Direct Use Apps Household'!G50</f>
        <v>13153377556.190989</v>
      </c>
      <c r="G50" s="35">
        <f>'Commercial buildings Direct Use'!D50</f>
        <v>234042873027.95419</v>
      </c>
      <c r="H50" s="35">
        <f>'on road vehicles'!Q50</f>
        <v>119391240000</v>
      </c>
      <c r="I50" s="35">
        <f>OffRoad!G50</f>
        <v>10911027746.63504</v>
      </c>
      <c r="J50" s="35">
        <f t="shared" si="0"/>
        <v>741189231820.62268</v>
      </c>
      <c r="K50" s="35"/>
      <c r="L50" s="105" t="s">
        <v>55</v>
      </c>
      <c r="M50" s="9">
        <f>emissions!C50*10^6</f>
        <v>4087.6000000000004</v>
      </c>
      <c r="N50" s="9">
        <f>emissions!F50*10^6</f>
        <v>3369677.1764751012</v>
      </c>
      <c r="O50" s="9">
        <f>(emissions!B50+emissions!D50+emissions!E50)*10^6</f>
        <v>2581165.8428244535</v>
      </c>
    </row>
    <row r="51" spans="2:15" x14ac:dyDescent="0.3">
      <c r="B51" s="105" t="s">
        <v>56</v>
      </c>
      <c r="C51" s="58">
        <f>'Electricity Energy'!S51</f>
        <v>77596388787.853882</v>
      </c>
      <c r="D51" s="35">
        <f>Transportation!G51</f>
        <v>107452530042.35643</v>
      </c>
      <c r="E51" s="35">
        <f>'Direct Use Apps. ENERGY'!H51</f>
        <v>82028357839.909637</v>
      </c>
      <c r="F51" s="35">
        <f>'Direct Use Apps Household'!G51</f>
        <v>19644022207.303909</v>
      </c>
      <c r="G51" s="35">
        <f>'Commercial buildings Direct Use'!D51</f>
        <v>177390630774.70795</v>
      </c>
      <c r="H51" s="35">
        <f>'on road vehicles'!Q51</f>
        <v>117163510000</v>
      </c>
      <c r="I51" s="35">
        <f>OffRoad!G51</f>
        <v>11750337573.299271</v>
      </c>
      <c r="J51" s="35">
        <f t="shared" si="0"/>
        <v>593025777225.43115</v>
      </c>
      <c r="K51" s="35"/>
      <c r="L51" s="105" t="s">
        <v>56</v>
      </c>
      <c r="M51" s="9">
        <f>emissions!C51*10^6</f>
        <v>33588460.800660796</v>
      </c>
      <c r="N51" s="9">
        <f>emissions!F51*10^6</f>
        <v>47494865.346906506</v>
      </c>
      <c r="O51" s="9">
        <f>(emissions!B51+emissions!D51+emissions!E51)*10^6</f>
        <v>23154491.235157713</v>
      </c>
    </row>
    <row r="52" spans="2:15" x14ac:dyDescent="0.3">
      <c r="B52" s="105" t="s">
        <v>57</v>
      </c>
      <c r="C52" s="58">
        <f>'Electricity Energy'!S52</f>
        <v>26261212812.557076</v>
      </c>
      <c r="D52" s="35">
        <f>Transportation!G52</f>
        <v>28078418170.245613</v>
      </c>
      <c r="E52" s="35">
        <f>'Direct Use Apps. ENERGY'!H52</f>
        <v>47956945291.129356</v>
      </c>
      <c r="F52" s="35">
        <f>'Direct Use Apps Household'!G52</f>
        <v>2788643874.3686209</v>
      </c>
      <c r="G52" s="35">
        <f>'Commercial buildings Direct Use'!D52</f>
        <v>49619363651.72187</v>
      </c>
      <c r="H52" s="35">
        <f>'on road vehicles'!Q52</f>
        <v>30244828000</v>
      </c>
      <c r="I52" s="35">
        <f>OffRoad!G52</f>
        <v>1678619653.3284678</v>
      </c>
      <c r="J52" s="35">
        <f t="shared" si="0"/>
        <v>186628031453.35098</v>
      </c>
      <c r="K52" s="35"/>
      <c r="L52" s="105" t="s">
        <v>57</v>
      </c>
      <c r="M52" s="9">
        <f>emissions!C52*10^6</f>
        <v>9532168.6540525332</v>
      </c>
      <c r="N52" s="9">
        <f>emissions!F52*10^6</f>
        <v>48916677.103195876</v>
      </c>
      <c r="O52" s="9">
        <f>(emissions!B52+emissions!D52+emissions!E52)*10^6</f>
        <v>20407805.71352895</v>
      </c>
    </row>
    <row r="53" spans="2:15" x14ac:dyDescent="0.3">
      <c r="B53" s="105" t="s">
        <v>58</v>
      </c>
      <c r="C53" s="58">
        <f>'Electricity Energy'!S53</f>
        <v>55407445784.018272</v>
      </c>
      <c r="D53" s="35">
        <f>Transportation!G53</f>
        <v>94048924904.93277</v>
      </c>
      <c r="E53" s="35">
        <f>'Direct Use Apps. ENERGY'!H53</f>
        <v>123478800882.72923</v>
      </c>
      <c r="F53" s="35">
        <f>'Direct Use Apps Household'!G53</f>
        <v>17364703501.129925</v>
      </c>
      <c r="G53" s="35">
        <f>'Commercial buildings Direct Use'!D53</f>
        <v>161014368807.60095</v>
      </c>
      <c r="H53" s="35">
        <f>'on road vehicles'!Q53</f>
        <v>91727310000</v>
      </c>
      <c r="I53" s="35">
        <f>OffRoad!G53</f>
        <v>6714478613.3138714</v>
      </c>
      <c r="J53" s="35">
        <f t="shared" si="0"/>
        <v>549756032493.7251</v>
      </c>
      <c r="K53" s="35"/>
      <c r="L53" s="105" t="s">
        <v>58</v>
      </c>
      <c r="M53" s="9">
        <f>emissions!C53*10^6</f>
        <v>68789860.653421327</v>
      </c>
      <c r="N53" s="9">
        <f>emissions!F53*10^6</f>
        <v>12240525.660932679</v>
      </c>
      <c r="O53" s="9">
        <f>(emissions!B53+emissions!D53+emissions!E53)*10^6</f>
        <v>13521795.4348076</v>
      </c>
    </row>
    <row r="54" spans="2:15" x14ac:dyDescent="0.3">
      <c r="B54" s="105" t="s">
        <v>59</v>
      </c>
      <c r="C54" s="58">
        <f>'Electricity Energy'!S54</f>
        <v>13457434609.132421</v>
      </c>
      <c r="D54" s="35">
        <f>Transportation!G54</f>
        <v>14054212611.785236</v>
      </c>
      <c r="E54" s="35">
        <f>'Direct Use Apps. ENERGY'!H54</f>
        <v>32202000396.130768</v>
      </c>
      <c r="F54" s="35">
        <f>'Direct Use Apps Household'!G54</f>
        <v>1506063486.9887631</v>
      </c>
      <c r="G54" s="35">
        <f>'Commercial buildings Direct Use'!D54</f>
        <v>13600145078.45336</v>
      </c>
      <c r="H54" s="35">
        <f>'on road vehicles'!Q54</f>
        <v>16512554000</v>
      </c>
      <c r="I54" s="35">
        <f>OffRoad!G54</f>
        <v>839309826.66423392</v>
      </c>
      <c r="J54" s="35">
        <f t="shared" si="0"/>
        <v>92171720009.15477</v>
      </c>
      <c r="K54" s="35"/>
      <c r="L54" s="105" t="s">
        <v>59</v>
      </c>
      <c r="M54" s="9">
        <f>emissions!C54*10^6</f>
        <v>38535293.327519819</v>
      </c>
      <c r="N54" s="9">
        <f>emissions!F54*10^6</f>
        <v>29475988.533211529</v>
      </c>
      <c r="O54" s="9">
        <f>(emissions!B54+emissions!D54+emissions!E54)*10^6</f>
        <v>27597745.621644154</v>
      </c>
    </row>
    <row r="55" spans="2:15" x14ac:dyDescent="0.3">
      <c r="B55" s="9" t="s">
        <v>243</v>
      </c>
      <c r="C55" s="58">
        <f>'Electricity Energy'!S55</f>
        <v>2986459643373.5156</v>
      </c>
      <c r="D55" s="35">
        <f>Transportation!G55</f>
        <v>5109411450137.0654</v>
      </c>
      <c r="E55" s="35">
        <f>'Direct Use Apps. ENERGY'!H55</f>
        <v>6908433760771.8125</v>
      </c>
      <c r="F55" s="35">
        <f>SUM(F5:F54)</f>
        <v>787742744857.75</v>
      </c>
      <c r="G55" s="35">
        <f>'Commercial buildings Direct Use'!D55</f>
        <v>8690871884541.4258</v>
      </c>
      <c r="H55" s="35">
        <f>'on road vehicles'!Q55</f>
        <v>4460660664000</v>
      </c>
      <c r="I55" s="35">
        <f>SUM(I5:I54)</f>
        <v>415458364198.79553</v>
      </c>
      <c r="J55" s="35">
        <f>SUM(J5:J54)</f>
        <v>29211792157649.254</v>
      </c>
      <c r="K55" s="35"/>
      <c r="L55" s="9" t="s">
        <v>243</v>
      </c>
      <c r="M55" s="9">
        <f>SUM(M5:M54)</f>
        <v>1862116662.9866443</v>
      </c>
      <c r="N55" s="9">
        <f>SUM(N5:N54)</f>
        <v>1986810178.7418866</v>
      </c>
      <c r="O55" s="9">
        <f>SUM(O5:O54)</f>
        <v>1478690112.6152527</v>
      </c>
    </row>
  </sheetData>
  <mergeCells count="4">
    <mergeCell ref="C2:E2"/>
    <mergeCell ref="N2:O2"/>
    <mergeCell ref="C3:J3"/>
    <mergeCell ref="M3:O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Introduction to WorkBook</vt:lpstr>
      <vt:lpstr>Pivot Table Renewables</vt:lpstr>
      <vt:lpstr>Pivot Table Dispatchable</vt:lpstr>
      <vt:lpstr>Peak Load Direct Nat Gas</vt:lpstr>
      <vt:lpstr>Cost of Emission Reductions</vt:lpstr>
      <vt:lpstr>Cost Data</vt:lpstr>
      <vt:lpstr>emissions</vt:lpstr>
      <vt:lpstr>Per Capita Estimates</vt:lpstr>
      <vt:lpstr>Master Summary Renewables</vt:lpstr>
      <vt:lpstr>Rounded Renewables</vt:lpstr>
      <vt:lpstr>Master Summary Dispatchable</vt:lpstr>
      <vt:lpstr>Rounded Dispatchable</vt:lpstr>
      <vt:lpstr>Electricity Energy</vt:lpstr>
      <vt:lpstr>Electric Explainer</vt:lpstr>
      <vt:lpstr>Transportation</vt:lpstr>
      <vt:lpstr>Transportation Explainer</vt:lpstr>
      <vt:lpstr>Direct Use Apps. ENERGY</vt:lpstr>
      <vt:lpstr>Natural Gas Explainer</vt:lpstr>
      <vt:lpstr>Direct Use Apps Household</vt:lpstr>
      <vt:lpstr>Commercial buildings Direct Use</vt:lpstr>
      <vt:lpstr>on road vehicles</vt:lpstr>
      <vt:lpstr>On Road Explainer</vt:lpstr>
      <vt:lpstr>OffRoad</vt:lpstr>
      <vt:lpstr>OffRoad Explainer</vt:lpstr>
      <vt:lpstr>percent of gdp</vt:lpstr>
      <vt:lpstr>'Electric Explainer'!_ftn1</vt:lpstr>
      <vt:lpstr>'Electric Explainer'!_ftn2</vt:lpstr>
      <vt:lpstr>'Electric Explainer'!_ftn3</vt:lpstr>
      <vt:lpstr>'Electric Explainer'!_ftn4</vt:lpstr>
      <vt:lpstr>'Natural Gas Explainer'!_ftnref1</vt:lpstr>
      <vt:lpstr>'Natural Gas Explainer'!_ftnref2</vt:lpstr>
      <vt:lpstr>'Electric Explainer'!_ftnref3</vt:lpstr>
      <vt:lpstr>'Electric Explainer'!_ftnref4</vt:lpstr>
      <vt:lpstr>'Transportation Explainer'!_Hlk27392399</vt:lpstr>
      <vt:lpstr>'Electric Explainer'!_Toc29453474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Tanton</dc:creator>
  <cp:lastModifiedBy>Thomas Tanton</cp:lastModifiedBy>
  <cp:lastPrinted>2020-02-07T18:48:06Z</cp:lastPrinted>
  <dcterms:created xsi:type="dcterms:W3CDTF">2019-08-16T18:14:24Z</dcterms:created>
  <dcterms:modified xsi:type="dcterms:W3CDTF">2020-02-25T18:17:44Z</dcterms:modified>
</cp:coreProperties>
</file>